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y Drive\GEA\Case Studies Database\Calculator Tools\"/>
    </mc:Choice>
  </mc:AlternateContent>
  <bookViews>
    <workbookView xWindow="0" yWindow="0" windowWidth="22890" windowHeight="9030" activeTab="1"/>
  </bookViews>
  <sheets>
    <sheet name="Read Me" sheetId="4" r:id="rId1"/>
    <sheet name="Dashboard" sheetId="2" r:id="rId2"/>
    <sheet name="Calculations" sheetId="3" state="hidden" r:id="rId3"/>
    <sheet name="Backhouse" sheetId="1" state="hidden" r:id="rId4"/>
  </sheets>
  <definedNames>
    <definedName name="BulbInfo">Backhouse!$A$1:$G$5</definedName>
    <definedName name="BulbType">Backhouse!$A$7:$D$7</definedName>
    <definedName name="Canada">Backhouse!$H$15:$H$27</definedName>
    <definedName name="Country">Backhouse!$E$15:$E$16</definedName>
    <definedName name="CurrencyConversion">Backhouse!$E$15:$G$16</definedName>
    <definedName name="CurrencyMultiplier">Dashboard!$D$14</definedName>
    <definedName name="CurrencySymbol">Dashboard!$D$15</definedName>
    <definedName name="CurrencySymbolList">Backhouse!$K$15:$K$104</definedName>
    <definedName name="ElectricityPrice">Dashboard!$D$11</definedName>
    <definedName name="EmissionsFactor">Dashboard!$D$12</definedName>
    <definedName name="ExistingBulbCost">Calculations!$M$3:INDEX(Calculations!$M$3:$M$12,COUNT(Calculations!$M$3:$M$12))</definedName>
    <definedName name="ExistingElectricityCost">Calculations!$O$3:INDEX(Calculations!$O$3:$O$12,COUNT(Calculations!$O$3:$O$12))</definedName>
    <definedName name="ExistingEmissions">Calculations!$Q$3:INDEX(Calculations!$Q$3:$Q$12,COUNT(Calculations!$Q$3:$Q$12))</definedName>
    <definedName name="ExistingTotalCost">Calculations!$P$3:INDEX(Calculations!$P$3:$P$12,COUNT(Calculations!$P$3:$P$12))</definedName>
    <definedName name="Fluorescent">Backhouse!$C$8:$C$12</definedName>
    <definedName name="FluorescentCost">Dashboard!$D$20</definedName>
    <definedName name="FluorescentLife">Dashboard!$D$27</definedName>
    <definedName name="GridData">Backhouse!$A$14:$C$77</definedName>
    <definedName name="Halogen">Backhouse!$B$8:$B$12</definedName>
    <definedName name="HalogenCost">Dashboard!$D$19</definedName>
    <definedName name="HalogenLife">Dashboard!$D$26</definedName>
    <definedName name="Incandescent">Backhouse!$A$8:$A$12</definedName>
    <definedName name="IncandescentCost">Dashboard!$D$18</definedName>
    <definedName name="IncandescentLife">Dashboard!$D$25</definedName>
    <definedName name="InputCountry">Dashboard!$D$7</definedName>
    <definedName name="InputProvince">Dashboard!$D$8</definedName>
    <definedName name="InputTable">Dashboard!$H$5:$N$15</definedName>
    <definedName name="LabourCost">Dashboard!$D$22</definedName>
    <definedName name="LabourEfficiency">Dashboard!$D$23</definedName>
    <definedName name="LED">Backhouse!$D$8:$D$12</definedName>
    <definedName name="LEDCost">Dashboard!$D$21</definedName>
    <definedName name="LEDLife">Dashboard!$D$28</definedName>
    <definedName name="ReplacementBulbCost">Calculations!$M$16:INDEX(Calculations!$M$16:$M$25,COUNT(Calculations!$M$16:$M$25))</definedName>
    <definedName name="ReplacementElectricityCost">Calculations!$O$16:INDEX(Calculations!$O$16:$O$25,COUNT(Calculations!$O$16:$O$25))</definedName>
    <definedName name="ReplacementEmissions">Calculations!$Q$16:INDEX(Calculations!$Q$16:$Q$25,COUNT(Calculations!$Q$16:$Q$25))</definedName>
    <definedName name="ReplacementTotalCost">Calculations!$P$16:INDEX(Calculations!$P$16:$P$25,COUNT(Calculations!$P$16:$P$25))</definedName>
    <definedName name="SelfDefinedCurrencyMultiplier">Dashboard!$F$14</definedName>
    <definedName name="SelfDefinedCurrencySymbol">Dashboard!$F$15</definedName>
    <definedName name="SelfDefinedElectricityPrice">Dashboard!$F$11</definedName>
    <definedName name="SelfDefinedEmissionsFactor">Dashboard!$F$12</definedName>
    <definedName name="SelfDefinedFlourescentCost">Dashboard!$F$20</definedName>
    <definedName name="SelfDefinedFluorescentLife">Dashboard!$F$27</definedName>
    <definedName name="SelfDefinedHalogenCost">Dashboard!$F$19</definedName>
    <definedName name="SelfDefinedHalogenLife">Dashboard!$F$26</definedName>
    <definedName name="SelfDefinedIncandescentCost">Dashboard!$F$18</definedName>
    <definedName name="SelfDefinedIncandescentLife">Dashboard!$F$25</definedName>
    <definedName name="SelfDefinedLabourCost">Dashboard!$F$22</definedName>
    <definedName name="SelfDefinedLabourEfficiency">Dashboard!$F$23</definedName>
    <definedName name="SelfDefinedLEDCost">Dashboard!$F$21</definedName>
    <definedName name="SelfDefinedLEDLife">Dashboard!$F$28</definedName>
    <definedName name="U.S.">Backhouse!$I$15:$I$64</definedName>
    <definedName name="WattageTable">Backhouse!$A$7:$D$12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6" i="2" l="1"/>
  <c r="E45" i="2"/>
  <c r="E44" i="2"/>
  <c r="J17" i="3" l="1"/>
  <c r="J18" i="3"/>
  <c r="J19" i="3"/>
  <c r="J20" i="3"/>
  <c r="J21" i="3"/>
  <c r="J22" i="3"/>
  <c r="J23" i="3"/>
  <c r="J24" i="3"/>
  <c r="J25" i="3"/>
  <c r="J16" i="3"/>
  <c r="H17" i="3"/>
  <c r="H18" i="3"/>
  <c r="H19" i="3"/>
  <c r="H20" i="3"/>
  <c r="H21" i="3"/>
  <c r="H22" i="3"/>
  <c r="H23" i="3"/>
  <c r="H24" i="3"/>
  <c r="H25" i="3"/>
  <c r="H16" i="3"/>
  <c r="F17" i="3"/>
  <c r="F18" i="3"/>
  <c r="F19" i="3"/>
  <c r="F20" i="3"/>
  <c r="I20" i="3" s="1"/>
  <c r="F21" i="3"/>
  <c r="I21" i="3" s="1"/>
  <c r="F22" i="3"/>
  <c r="I22" i="3" s="1"/>
  <c r="F23" i="3"/>
  <c r="I23" i="3" s="1"/>
  <c r="F24" i="3"/>
  <c r="I24" i="3" s="1"/>
  <c r="F25" i="3"/>
  <c r="I25" i="3" s="1"/>
  <c r="F16" i="3"/>
  <c r="G4" i="3"/>
  <c r="G5" i="3"/>
  <c r="G6" i="3"/>
  <c r="G7" i="3"/>
  <c r="G8" i="3"/>
  <c r="G9" i="3"/>
  <c r="G10" i="3"/>
  <c r="G11" i="3"/>
  <c r="G12" i="3"/>
  <c r="G3" i="3"/>
  <c r="H4" i="3"/>
  <c r="H5" i="3"/>
  <c r="H6" i="3"/>
  <c r="H7" i="3"/>
  <c r="H8" i="3"/>
  <c r="H9" i="3"/>
  <c r="H10" i="3"/>
  <c r="H11" i="3"/>
  <c r="H12" i="3"/>
  <c r="H3" i="3"/>
  <c r="J4" i="3"/>
  <c r="J5" i="3"/>
  <c r="J6" i="3"/>
  <c r="J7" i="3"/>
  <c r="J8" i="3"/>
  <c r="J9" i="3"/>
  <c r="J10" i="3"/>
  <c r="J11" i="3"/>
  <c r="J12" i="3"/>
  <c r="J3" i="3"/>
  <c r="F4" i="3"/>
  <c r="F5" i="3"/>
  <c r="F6" i="3"/>
  <c r="F7" i="3"/>
  <c r="I7" i="3" s="1"/>
  <c r="F8" i="3"/>
  <c r="I8" i="3" s="1"/>
  <c r="F9" i="3"/>
  <c r="I9" i="3" s="1"/>
  <c r="F10" i="3"/>
  <c r="I10" i="3" s="1"/>
  <c r="F11" i="3"/>
  <c r="I11" i="3" s="1"/>
  <c r="F12" i="3"/>
  <c r="I12" i="3" s="1"/>
  <c r="F3" i="3"/>
  <c r="B16" i="3"/>
  <c r="B15" i="3"/>
  <c r="B9" i="3"/>
  <c r="D26" i="2"/>
  <c r="B7" i="3" s="1"/>
  <c r="D27" i="2"/>
  <c r="B8" i="3" s="1"/>
  <c r="D28" i="2"/>
  <c r="D25" i="2"/>
  <c r="B6" i="3" s="1"/>
  <c r="D19" i="2"/>
  <c r="B11" i="3" s="1"/>
  <c r="D20" i="2"/>
  <c r="B12" i="3" s="1"/>
  <c r="D21" i="2"/>
  <c r="B13" i="3" s="1"/>
  <c r="D18" i="2"/>
  <c r="B10" i="3" s="1"/>
  <c r="D15" i="2"/>
  <c r="N7" i="2"/>
  <c r="G17" i="3" s="1"/>
  <c r="N8" i="2"/>
  <c r="G18" i="3" s="1"/>
  <c r="N9" i="2"/>
  <c r="G19" i="3" s="1"/>
  <c r="N10" i="2"/>
  <c r="G20" i="3" s="1"/>
  <c r="N11" i="2"/>
  <c r="G21" i="3" s="1"/>
  <c r="N12" i="2"/>
  <c r="G22" i="3" s="1"/>
  <c r="N13" i="2"/>
  <c r="G23" i="3" s="1"/>
  <c r="N14" i="2"/>
  <c r="G24" i="3" s="1"/>
  <c r="N15" i="2"/>
  <c r="G25" i="3" s="1"/>
  <c r="N6" i="2"/>
  <c r="G16" i="3" s="1"/>
  <c r="D35" i="2" l="1"/>
  <c r="D37" i="2"/>
  <c r="D36" i="2"/>
  <c r="J28" i="3"/>
  <c r="G28" i="3"/>
  <c r="H29" i="3"/>
  <c r="G33" i="3" s="1"/>
  <c r="G29" i="3"/>
  <c r="H28" i="3"/>
  <c r="G32" i="3" s="1"/>
  <c r="J29" i="3"/>
  <c r="K24" i="3"/>
  <c r="K23" i="3"/>
  <c r="K20" i="3"/>
  <c r="K19" i="3"/>
  <c r="K10" i="3"/>
  <c r="B4" i="3"/>
  <c r="D42" i="2"/>
  <c r="D41" i="2"/>
  <c r="D39" i="2"/>
  <c r="D40" i="2"/>
  <c r="K7" i="3"/>
  <c r="K6" i="3"/>
  <c r="K11" i="3"/>
  <c r="K3" i="3"/>
  <c r="K9" i="3"/>
  <c r="K5" i="3"/>
  <c r="K16" i="3"/>
  <c r="K22" i="3"/>
  <c r="K18" i="3"/>
  <c r="K12" i="3"/>
  <c r="K8" i="3"/>
  <c r="K4" i="3"/>
  <c r="K25" i="3"/>
  <c r="K21" i="3"/>
  <c r="K17" i="3"/>
  <c r="L18" i="3"/>
  <c r="L17" i="3"/>
  <c r="L21" i="3"/>
  <c r="L19" i="3"/>
  <c r="L16" i="3"/>
  <c r="L4" i="3"/>
  <c r="L6" i="3"/>
  <c r="L8" i="3"/>
  <c r="L24" i="3"/>
  <c r="L11" i="3"/>
  <c r="L7" i="3"/>
  <c r="L23" i="3"/>
  <c r="L20" i="3"/>
  <c r="L22" i="3"/>
  <c r="L10" i="3"/>
  <c r="L12" i="3"/>
  <c r="L3" i="3"/>
  <c r="L9" i="3"/>
  <c r="L5" i="3"/>
  <c r="L25" i="3"/>
  <c r="D14" i="2"/>
  <c r="B3" i="3" s="1"/>
  <c r="I3" i="3" s="1"/>
  <c r="E36" i="2" l="1"/>
  <c r="I17" i="3"/>
  <c r="M24" i="3"/>
  <c r="I6" i="3"/>
  <c r="M6" i="3" s="1"/>
  <c r="M25" i="3"/>
  <c r="M23" i="3"/>
  <c r="M10" i="3"/>
  <c r="M21" i="3"/>
  <c r="I4" i="3"/>
  <c r="I5" i="3"/>
  <c r="M5" i="3" s="1"/>
  <c r="M3" i="3"/>
  <c r="M20" i="3"/>
  <c r="I16" i="3"/>
  <c r="M16" i="3" s="1"/>
  <c r="M12" i="3"/>
  <c r="M8" i="3"/>
  <c r="M7" i="3"/>
  <c r="M9" i="3"/>
  <c r="M22" i="3"/>
  <c r="M11" i="3"/>
  <c r="M17" i="3"/>
  <c r="I19" i="3"/>
  <c r="M19" i="3" s="1"/>
  <c r="I18" i="3"/>
  <c r="M18" i="3" s="1"/>
  <c r="N18" i="3"/>
  <c r="K28" i="3"/>
  <c r="N12" i="3"/>
  <c r="K29" i="3"/>
  <c r="N8" i="3"/>
  <c r="N17" i="3"/>
  <c r="N6" i="3"/>
  <c r="N16" i="3"/>
  <c r="N19" i="3"/>
  <c r="N23" i="3"/>
  <c r="N22" i="3"/>
  <c r="N4" i="3"/>
  <c r="N21" i="3"/>
  <c r="N7" i="3"/>
  <c r="N5" i="3"/>
  <c r="N20" i="3"/>
  <c r="N24" i="3"/>
  <c r="N9" i="3"/>
  <c r="L28" i="3"/>
  <c r="N11" i="3"/>
  <c r="N25" i="3"/>
  <c r="N3" i="3"/>
  <c r="N10" i="3"/>
  <c r="D12" i="2"/>
  <c r="B19" i="3" s="1"/>
  <c r="D11" i="2"/>
  <c r="B18" i="3" s="1"/>
  <c r="I28" i="3" l="1"/>
  <c r="F32" i="3"/>
  <c r="M4" i="3"/>
  <c r="I29" i="3"/>
  <c r="F33" i="3"/>
  <c r="H33" i="3" s="1"/>
  <c r="E32" i="2"/>
  <c r="E33" i="2" s="1"/>
  <c r="Q7" i="3"/>
  <c r="Q16" i="3"/>
  <c r="Q12" i="3"/>
  <c r="Q21" i="3"/>
  <c r="Q24" i="3"/>
  <c r="Q3" i="3"/>
  <c r="Q22" i="3"/>
  <c r="Q8" i="3"/>
  <c r="Q17" i="3"/>
  <c r="Q20" i="3"/>
  <c r="Q10" i="3"/>
  <c r="Q5" i="3"/>
  <c r="Q9" i="3"/>
  <c r="Q18" i="3"/>
  <c r="Q4" i="3"/>
  <c r="Q6" i="3"/>
  <c r="Q23" i="3"/>
  <c r="Q11" i="3"/>
  <c r="Q25" i="3"/>
  <c r="Q19" i="3"/>
  <c r="O11" i="3"/>
  <c r="P11" i="3" s="1"/>
  <c r="O24" i="3"/>
  <c r="P24" i="3" s="1"/>
  <c r="O9" i="3"/>
  <c r="P9" i="3" s="1"/>
  <c r="O4" i="3"/>
  <c r="O21" i="3"/>
  <c r="P21" i="3" s="1"/>
  <c r="O7" i="3"/>
  <c r="P7" i="3" s="1"/>
  <c r="O3" i="3"/>
  <c r="P3" i="3" s="1"/>
  <c r="O8" i="3"/>
  <c r="P8" i="3" s="1"/>
  <c r="O23" i="3"/>
  <c r="P23" i="3" s="1"/>
  <c r="O10" i="3"/>
  <c r="P10" i="3" s="1"/>
  <c r="O20" i="3"/>
  <c r="P20" i="3" s="1"/>
  <c r="O5" i="3"/>
  <c r="P5" i="3" s="1"/>
  <c r="O17" i="3"/>
  <c r="P17" i="3" s="1"/>
  <c r="O22" i="3"/>
  <c r="P22" i="3" s="1"/>
  <c r="O18" i="3"/>
  <c r="P18" i="3" s="1"/>
  <c r="O25" i="3"/>
  <c r="P25" i="3" s="1"/>
  <c r="O19" i="3"/>
  <c r="P19" i="3" s="1"/>
  <c r="O6" i="3"/>
  <c r="P6" i="3" s="1"/>
  <c r="O16" i="3"/>
  <c r="P16" i="3" s="1"/>
  <c r="O12" i="3"/>
  <c r="P12" i="3" s="1"/>
  <c r="E17" i="3"/>
  <c r="E18" i="3"/>
  <c r="E19" i="3"/>
  <c r="E20" i="3"/>
  <c r="E21" i="3"/>
  <c r="E22" i="3"/>
  <c r="E23" i="3"/>
  <c r="E24" i="3"/>
  <c r="E25" i="3"/>
  <c r="E16" i="3"/>
  <c r="E4" i="3"/>
  <c r="E5" i="3"/>
  <c r="E6" i="3"/>
  <c r="E7" i="3"/>
  <c r="E8" i="3"/>
  <c r="E9" i="3"/>
  <c r="E10" i="3"/>
  <c r="E11" i="3"/>
  <c r="E12" i="3"/>
  <c r="E3" i="3"/>
  <c r="P4" i="3" l="1"/>
  <c r="H32" i="3"/>
  <c r="E35" i="2"/>
  <c r="E37" i="2" s="1"/>
  <c r="O28" i="3"/>
  <c r="Q28" i="3"/>
  <c r="L29" i="3"/>
  <c r="N29" i="3"/>
  <c r="N28" i="3"/>
  <c r="C2" i="1"/>
  <c r="C3" i="1"/>
  <c r="C4" i="1"/>
  <c r="C5" i="1"/>
  <c r="E40" i="2" l="1"/>
  <c r="M29" i="3"/>
  <c r="P28" i="3" l="1"/>
  <c r="M28" i="3"/>
  <c r="E39" i="2" s="1"/>
  <c r="O29" i="3"/>
  <c r="E41" i="2" s="1"/>
  <c r="E42" i="2" l="1"/>
  <c r="Q29" i="3"/>
  <c r="E48" i="2" s="1"/>
  <c r="E49" i="2" s="1"/>
  <c r="P29" i="3" l="1"/>
</calcChain>
</file>

<file path=xl/sharedStrings.xml><?xml version="1.0" encoding="utf-8"?>
<sst xmlns="http://schemas.openxmlformats.org/spreadsheetml/2006/main" count="437" uniqueCount="308">
  <si>
    <t>Bulb Type</t>
  </si>
  <si>
    <t>Incandescent</t>
  </si>
  <si>
    <t>Halogen</t>
  </si>
  <si>
    <t>Fluorescent</t>
  </si>
  <si>
    <t>LED</t>
  </si>
  <si>
    <t>Minimum Life (h)</t>
  </si>
  <si>
    <t>Maximum Life (h)</t>
  </si>
  <si>
    <t>Power Relative to Incandescent (%)</t>
  </si>
  <si>
    <t>Reference Power Requirement (W/bulb)</t>
  </si>
  <si>
    <t>Number of Bulbs</t>
  </si>
  <si>
    <t>% of Time Left On</t>
  </si>
  <si>
    <t>Existing Lighting</t>
  </si>
  <si>
    <t>Replacement Lighting</t>
  </si>
  <si>
    <t>Bulb Wattage</t>
  </si>
  <si>
    <t>Area</t>
  </si>
  <si>
    <t>Grid</t>
  </si>
  <si>
    <t>Consumption Emissions (kgCO2e/kWh)</t>
  </si>
  <si>
    <t>Alberta</t>
  </si>
  <si>
    <t>British Columbia</t>
  </si>
  <si>
    <t>Manitoba</t>
  </si>
  <si>
    <t>New Brunswick</t>
  </si>
  <si>
    <t>Newfoundland and Labrador</t>
  </si>
  <si>
    <t>Nova Scotia</t>
  </si>
  <si>
    <t>Ontario</t>
  </si>
  <si>
    <t>Prince Edward Island</t>
  </si>
  <si>
    <t>Quebec</t>
  </si>
  <si>
    <t>Saskatchewan</t>
  </si>
  <si>
    <t>Northwest Territories</t>
  </si>
  <si>
    <t>Nunavut</t>
  </si>
  <si>
    <t>Yukon</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</si>
  <si>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</si>
  <si>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</si>
  <si>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</si>
  <si>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</si>
  <si>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</si>
  <si>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</si>
  <si>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</si>
  <si>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</si>
  <si>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</si>
  <si>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</si>
  <si>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</si>
  <si>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</si>
  <si>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</si>
  <si>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</si>
  <si>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</si>
  <si>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</si>
  <si>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</si>
  <si>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</si>
  <si>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</si>
  <si>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</si>
  <si>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</si>
  <si>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</si>
  <si>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</si>
  <si>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</si>
  <si>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</si>
  <si>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</si>
  <si>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</si>
  <si>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</si>
  <si>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</si>
  <si>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</si>
  <si>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</si>
  <si>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</si>
  <si>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</si>
  <si>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</si>
  <si>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</si>
  <si>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</si>
  <si>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</si>
  <si>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</si>
  <si>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</si>
  <si>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</si>
  <si>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</si>
  <si>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</si>
  <si>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</si>
  <si>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</si>
  <si>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</si>
  <si>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</si>
  <si>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</si>
  <si>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</si>
  <si>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</si>
  <si>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</si>
  <si>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Country</t>
  </si>
  <si>
    <t>Province/State</t>
  </si>
  <si>
    <t>Canada</t>
  </si>
  <si>
    <t>U.S.</t>
  </si>
  <si>
    <t>Grid Emissions Factor</t>
  </si>
  <si>
    <t>kgCO2e/kWh</t>
  </si>
  <si>
    <t>Electricity Cost ($/year)</t>
  </si>
  <si>
    <t>Emissions (kgCO2e/year)</t>
  </si>
  <si>
    <t>Replacement Lightning</t>
  </si>
  <si>
    <t>Total Cost ($/year)</t>
  </si>
  <si>
    <t>Totals</t>
  </si>
  <si>
    <t>Base Case (Existing Lighting)</t>
  </si>
  <si>
    <t>Project Case (Replacement Lighting)</t>
  </si>
  <si>
    <t>OR</t>
  </si>
  <si>
    <t>Enter your Own</t>
  </si>
  <si>
    <t>Calculator Description</t>
  </si>
  <si>
    <t>The lighting cost and emissions calculator was developed by Greenplanet Energy Analytics (GEA) to help users quantify the potential cost and emissions savings that can be achieved by switching to energy efficient lighting.</t>
  </si>
  <si>
    <t>Data Sources</t>
  </si>
  <si>
    <t>The calculator uses publically available data sources, as outlined below:</t>
  </si>
  <si>
    <t xml:space="preserve">   - Canadian residential electricity prices (Rylan Urban, energyhub.org)</t>
  </si>
  <si>
    <t xml:space="preserve">   - Canadian electrical grid intensity factors (Environment and Climate Change Canada)</t>
  </si>
  <si>
    <t xml:space="preserve">   - U.S. residential electricity prices (U.S. Energy Information Administration)</t>
  </si>
  <si>
    <t xml:space="preserve">   - U.S. electrical grid intensity factors (U.S. Energy Information Administration)</t>
  </si>
  <si>
    <t xml:space="preserve">   - Light bulb costs (Amazon.ca)</t>
  </si>
  <si>
    <t xml:space="preserve">   - Light bulb replacement intervals (bulbs.com)</t>
  </si>
  <si>
    <t>Using the Calculator</t>
  </si>
  <si>
    <t>Example Entry</t>
  </si>
  <si>
    <t>Consider a person that lives in a small, bachelor appartment in Edmonton, Alberta. The apartment consists of a bathroom, a bedroom, and a kitchen. The lighting in each of the rooms is as follows:</t>
  </si>
  <si>
    <t xml:space="preserve">   - Bedroom: 2 60-Watt incandescent bulbs that are on 4 hours per day, and a 40-Watt incandescent lamp that is on for 2 hours per day; and</t>
  </si>
  <si>
    <t xml:space="preserve">   - Kitchen: 4 60-Watt incandescent bulbs that are on for 5 hours per day.</t>
  </si>
  <si>
    <t>The user-input forms, and the resulting output for this example are shown below.</t>
  </si>
  <si>
    <t xml:space="preserve">   - Bathroom: 3 60-Watt incandescent bulbs that are on only 1 hour per day (1/24 ≈ 4%);</t>
  </si>
  <si>
    <t xml:space="preserve">  Q1. I can't change my country because the drop-down list won't pop up.</t>
  </si>
  <si>
    <t>FAQs &amp; Common Issues</t>
  </si>
  <si>
    <t xml:space="preserve">  Q2. I can't change existing bulb types because the drop-down list won't pop up.</t>
  </si>
  <si>
    <t xml:space="preserve">  Q3. Why can't I select the bulb wattage for my replacement lighting?</t>
  </si>
  <si>
    <t xml:space="preserve">  A3. The calculator is set up to automatically populate this column with the equivalent wattage for the replacement lights, i.e. lights that will provide the same amount of light intensity (lumens).</t>
  </si>
  <si>
    <r>
      <t xml:space="preserve">  A2. Make sure you delete your entry in the </t>
    </r>
    <r>
      <rPr>
        <i/>
        <sz val="10"/>
        <color theme="1"/>
        <rFont val="Segoe UI"/>
        <family val="2"/>
      </rPr>
      <t>Bulb Wattage</t>
    </r>
    <r>
      <rPr>
        <sz val="10"/>
        <color theme="1"/>
        <rFont val="Segoe UI"/>
        <family val="2"/>
      </rPr>
      <t xml:space="preserve"> column before trying to change the </t>
    </r>
    <r>
      <rPr>
        <i/>
        <sz val="10"/>
        <color theme="1"/>
        <rFont val="Segoe UI"/>
        <family val="2"/>
      </rPr>
      <t>Bulb Type</t>
    </r>
    <r>
      <rPr>
        <sz val="10"/>
        <color theme="1"/>
        <rFont val="Segoe UI"/>
        <family val="2"/>
      </rPr>
      <t>. The drop-down lists for these entries are linked, and must be filled out in a specific order (bulb type, then bulb wattage).</t>
    </r>
  </si>
  <si>
    <r>
      <t xml:space="preserve">  A1. Make sure you delete your entry in the </t>
    </r>
    <r>
      <rPr>
        <i/>
        <sz val="10"/>
        <color theme="1"/>
        <rFont val="Segoe UI"/>
        <family val="2"/>
      </rPr>
      <t xml:space="preserve">Province/State </t>
    </r>
    <r>
      <rPr>
        <sz val="10"/>
        <color theme="1"/>
        <rFont val="Segoe UI"/>
        <family val="2"/>
      </rPr>
      <t>row before changing your country. The drop-down lists for these entries are linked, and must be filled out in a specific order (country, then province/state)</t>
    </r>
  </si>
  <si>
    <t xml:space="preserve">  Q4. What is a grid-emissions factor?</t>
  </si>
  <si>
    <t xml:space="preserve">  Q5. How do I proceed if my country or province/state isn't available from the drop-down lists?</t>
  </si>
  <si>
    <t xml:space="preserve">  A4. A grid-emissions factor quantifies the average greenhouse gas (GHG) emissions, in units kilograms of carbon dioxide-equivalent, per amount of electricity consumed, in units of kilowatt-hours. For example, a province that has a 
          grid-emissions factor of 0.500 kgCO2e/kWh will emit half a kilogram of carbon dioxide for every kilowatt-hour of electricity consumed. Electricity systems with more renewable energy sources will have a lower grid-emissions factor
          than systems that rely more on fossil fuels.</t>
  </si>
  <si>
    <t xml:space="preserve">  Q6: What is CO2e (carbon dioxide-equivalent)?</t>
  </si>
  <si>
    <t xml:space="preserve">  A6: CO2e refers to the equivalent amount of CO2 that would need to be released into the atmosphere to have the same global warming potential, i.e. impact on the environment. For example, methane gas (CH4) has a global warming potential 
        25-times greater than carbon dioxide, meaning 1 kgCH4 = 25 kgCO2e.</t>
  </si>
  <si>
    <r>
      <t xml:space="preserve">  A5. The </t>
    </r>
    <r>
      <rPr>
        <i/>
        <sz val="10"/>
        <color theme="1"/>
        <rFont val="Segoe UI"/>
        <family val="2"/>
      </rPr>
      <t>Country</t>
    </r>
    <r>
      <rPr>
        <sz val="10"/>
        <color theme="1"/>
        <rFont val="Segoe UI"/>
        <family val="2"/>
      </rPr>
      <t xml:space="preserve"> and </t>
    </r>
    <r>
      <rPr>
        <i/>
        <sz val="10"/>
        <color theme="1"/>
        <rFont val="Segoe UI"/>
        <family val="2"/>
      </rPr>
      <t>Province/State</t>
    </r>
    <r>
      <rPr>
        <sz val="10"/>
        <color theme="1"/>
        <rFont val="Segoe UI"/>
        <family val="2"/>
      </rPr>
      <t xml:space="preserve"> entries are optional, and provide an average cost and grid-emission factors for the selected location. For locations that are not available in the calculators database, users are able to define their own electricity
        cost and grid emissions factors. Users that do not know the grid-emissions factor for their location, can use the following equation to make a rough estimation:
        Grid-emissions factor </t>
    </r>
    <r>
      <rPr>
        <sz val="10"/>
        <color theme="1"/>
        <rFont val="Calibri"/>
        <family val="2"/>
      </rPr>
      <t>≈</t>
    </r>
    <r>
      <rPr>
        <sz val="10"/>
        <color theme="1"/>
        <rFont val="Segoe UI"/>
        <family val="2"/>
      </rPr>
      <t xml:space="preserve"> (% of electricity produced by natural gas)*(0.413 kgCO2e/kWh) + (% of electricity produced by coal)*(1.01 kgCO2e/kWh) + (% of electricity produced by petroleum)*(0.966 kgCO2e/kWh)
        For example, in 2018, Alberta's electricity generation came from 49% natural gas, 43% coal, and 0.1% petroleum. Using the above equation, Alberta's emission factor for that year can be approximated as: 
        AB emissions factor </t>
    </r>
    <r>
      <rPr>
        <sz val="10"/>
        <color theme="1"/>
        <rFont val="Calibri"/>
        <family val="2"/>
      </rPr>
      <t>≈</t>
    </r>
    <r>
      <rPr>
        <sz val="10"/>
        <color theme="1"/>
        <rFont val="Segoe UI"/>
        <family val="2"/>
      </rPr>
      <t xml:space="preserve"> (49% natural gas)*(0.413 kgCO2e/kWh) + (43% coal)*(1.01 CO2e/kWh) + (0.1% petroleum)*(0.966 kgCO2e/kWh) = 0.638 kgCO2e/kWh</t>
    </r>
  </si>
  <si>
    <t>Avoided Electricity Cost</t>
  </si>
  <si>
    <t>2021 Average</t>
  </si>
  <si>
    <t xml:space="preserve">  A7: If you look at your monthly electric utility bill, you'll notice that you will have been charged for both the energy that you consumed (in dollars per kilowatt-hour) as well as some additional fixed (dollar per day or dollar per month)
         and variable (dollar per kilowatt-hour) fees. The avoided cost of energy takes into account both the energy charge as well as any additional fees (e.g. delivery, rate riders, access fees) that also scale with the amount of energy 
         consumed. Avoided cost provides a more accurate quantification of the cost savings of reducing your monthly electricity usage.</t>
  </si>
  <si>
    <t xml:space="preserve">  Q7: What is an avoided cost of electricity?</t>
  </si>
  <si>
    <t>Location Information</t>
  </si>
  <si>
    <t>Electricity Data</t>
  </si>
  <si>
    <t>Lighting Information</t>
  </si>
  <si>
    <t>Conversion from $CAD</t>
  </si>
  <si>
    <t>multiplier</t>
  </si>
  <si>
    <t>Currency Data</t>
  </si>
  <si>
    <t>Currency Conversion to $CAD</t>
  </si>
  <si>
    <t>Minimum Cost ($CAD/bulb)</t>
  </si>
  <si>
    <t>Maximum Cost ($CAD/bulb)</t>
  </si>
  <si>
    <t>Electricity Price ($CAD/kWh)</t>
  </si>
  <si>
    <t>$CAD/kWh</t>
  </si>
  <si>
    <t>Currency Multiplier</t>
  </si>
  <si>
    <t>Lighting Zone</t>
  </si>
  <si>
    <t>Equivalent Wattage</t>
  </si>
  <si>
    <t>symbol</t>
  </si>
  <si>
    <t>Currency Symbol</t>
  </si>
  <si>
    <t>$</t>
  </si>
  <si>
    <t>Currency Symbols</t>
  </si>
  <si>
    <t>.د.ب</t>
  </si>
  <si>
    <t>.ރ</t>
  </si>
  <si>
    <t>£</t>
  </si>
  <si>
    <t>ج.م</t>
  </si>
  <si>
    <t>ل.س</t>
  </si>
  <si>
    <t>¥</t>
  </si>
  <si>
    <t>元</t>
  </si>
  <si>
    <t>₱</t>
  </si>
  <si>
    <t>﷼</t>
  </si>
  <si>
    <t>₭</t>
  </si>
  <si>
    <t>₦</t>
  </si>
  <si>
    <t>₨</t>
  </si>
  <si>
    <t>₩</t>
  </si>
  <si>
    <t>₮</t>
  </si>
  <si>
    <t>€</t>
  </si>
  <si>
    <t>₡</t>
  </si>
  <si>
    <t>৳</t>
  </si>
  <si>
    <t>៛</t>
  </si>
  <si>
    <t>؋</t>
  </si>
  <si>
    <t>₲</t>
  </si>
  <si>
    <t>₴</t>
  </si>
  <si>
    <t>₵</t>
  </si>
  <si>
    <t>₪</t>
  </si>
  <si>
    <t>₫</t>
  </si>
  <si>
    <t>₹</t>
  </si>
  <si>
    <t>Ar</t>
  </si>
  <si>
    <t>B/.</t>
  </si>
  <si>
    <t>Br</t>
  </si>
  <si>
    <t>Bs F</t>
  </si>
  <si>
    <t>Bs.</t>
  </si>
  <si>
    <t>C$</t>
  </si>
  <si>
    <t>D</t>
  </si>
  <si>
    <t>Db</t>
  </si>
  <si>
    <t>Esc</t>
  </si>
  <si>
    <t>ƒ</t>
  </si>
  <si>
    <t>Fr</t>
  </si>
  <si>
    <t>Ft</t>
  </si>
  <si>
    <t>G</t>
  </si>
  <si>
    <t>K</t>
  </si>
  <si>
    <t>Kč</t>
  </si>
  <si>
    <t>КМ</t>
  </si>
  <si>
    <t>kn</t>
  </si>
  <si>
    <t>kr</t>
  </si>
  <si>
    <t>Ks</t>
  </si>
  <si>
    <t>Kz</t>
  </si>
  <si>
    <t>L</t>
  </si>
  <si>
    <t>Le</t>
  </si>
  <si>
    <t>lei</t>
  </si>
  <si>
    <t>m</t>
  </si>
  <si>
    <t>MK</t>
  </si>
  <si>
    <t>MT</t>
  </si>
  <si>
    <t>Nfk</t>
  </si>
  <si>
    <t>Nu.</t>
  </si>
  <si>
    <t>P</t>
  </si>
  <si>
    <t>Ptas</t>
  </si>
  <si>
    <t>Q</t>
  </si>
  <si>
    <t>R</t>
  </si>
  <si>
    <t>R$</t>
  </si>
  <si>
    <t>RM</t>
  </si>
  <si>
    <t>Rp</t>
  </si>
  <si>
    <t>රු</t>
  </si>
  <si>
    <t>S/.</t>
  </si>
  <si>
    <t>Sh</t>
  </si>
  <si>
    <t>T</t>
  </si>
  <si>
    <t>T$</t>
  </si>
  <si>
    <t>UM</t>
  </si>
  <si>
    <t>Vt</t>
  </si>
  <si>
    <t>ZK</t>
  </si>
  <si>
    <t>zł</t>
  </si>
  <si>
    <t>ден</t>
  </si>
  <si>
    <t>din.</t>
  </si>
  <si>
    <t>ЅМ</t>
  </si>
  <si>
    <t>лв</t>
  </si>
  <si>
    <t>р.</t>
  </si>
  <si>
    <t>դր.</t>
  </si>
  <si>
    <t>ლ</t>
  </si>
  <si>
    <t>ج.س.</t>
  </si>
  <si>
    <t>د. م.</t>
  </si>
  <si>
    <t>د.إ</t>
  </si>
  <si>
    <t>د.ت</t>
  </si>
  <si>
    <t>د.ج</t>
  </si>
  <si>
    <t>د.ك</t>
  </si>
  <si>
    <t>د.م.</t>
  </si>
  <si>
    <t>ر.س</t>
  </si>
  <si>
    <t>ر.ع.</t>
  </si>
  <si>
    <t>ر.ق</t>
  </si>
  <si>
    <t>ع.د</t>
  </si>
  <si>
    <t>ل.د</t>
  </si>
  <si>
    <t>ل.ل</t>
  </si>
  <si>
    <t>GEA Estimate</t>
  </si>
  <si>
    <t>Cost Data</t>
  </si>
  <si>
    <t>$CAD/bulb</t>
  </si>
  <si>
    <t>Labour</t>
  </si>
  <si>
    <t>Labour Cost</t>
  </si>
  <si>
    <t>$CAD/hour</t>
  </si>
  <si>
    <t>Labourer Wage</t>
  </si>
  <si>
    <t>Labourer Efficiency</t>
  </si>
  <si>
    <t>Bulbs/hour</t>
  </si>
  <si>
    <t>Bulb Replacement Interval</t>
  </si>
  <si>
    <t>hours</t>
  </si>
  <si>
    <t>Relevant Inputs</t>
  </si>
  <si>
    <t>Bulb Info</t>
  </si>
  <si>
    <t>Incandescent life</t>
  </si>
  <si>
    <t>Halogen life</t>
  </si>
  <si>
    <t>Fluorescent life</t>
  </si>
  <si>
    <t>Currency Symbol for plots</t>
  </si>
  <si>
    <t>LED Life</t>
  </si>
  <si>
    <t>Incandescent Cost</t>
  </si>
  <si>
    <t>Halogen Cost</t>
  </si>
  <si>
    <t>Fluorescent Cost</t>
  </si>
  <si>
    <t>LED Cost</t>
  </si>
  <si>
    <t>Labour Info</t>
  </si>
  <si>
    <t>Wage</t>
  </si>
  <si>
    <t>Efficiency</t>
  </si>
  <si>
    <t>$/hour</t>
  </si>
  <si>
    <t>bulb/hour</t>
  </si>
  <si>
    <t>Replacement Interval (bulb/year)</t>
  </si>
  <si>
    <t>Hours on/year</t>
  </si>
  <si>
    <t>Bulb Cost ($/year)</t>
  </si>
  <si>
    <t>Labour Cost ($/year)</t>
  </si>
  <si>
    <t>Electricity Info</t>
  </si>
  <si>
    <t>Cost</t>
  </si>
  <si>
    <t>Emissions</t>
  </si>
  <si>
    <t>$/kWh</t>
  </si>
  <si>
    <t>Materials</t>
  </si>
  <si>
    <t>Electricity</t>
  </si>
  <si>
    <t>Total</t>
  </si>
  <si>
    <t>Plot Tick Labels</t>
  </si>
  <si>
    <t>Base Case
(Cost)</t>
  </si>
  <si>
    <t>Project Case
(Cost)</t>
  </si>
  <si>
    <t>Base Case
(Emissions)</t>
  </si>
  <si>
    <t>Project Case
(Emissions)</t>
  </si>
  <si>
    <t>Materials Cost</t>
  </si>
  <si>
    <t>Electricity Cost</t>
  </si>
  <si>
    <t>Emissions Savings</t>
  </si>
  <si>
    <t>Energy Savings</t>
  </si>
  <si>
    <t>Percent Savings</t>
  </si>
  <si>
    <t>Electricity Consumption (kWh/year)</t>
  </si>
  <si>
    <t>Total Cost</t>
  </si>
  <si>
    <t>kWh/year</t>
  </si>
  <si>
    <t>%/year</t>
  </si>
  <si>
    <t xml:space="preserve">  - The first input form allows the user to enter the country and province/state that they live in - this will allow the calculator to assign an average local cost of electricity and grid emission intensity</t>
  </si>
  <si>
    <r>
      <t xml:space="preserve">The calculator user interface consists of a single worksheet, </t>
    </r>
    <r>
      <rPr>
        <i/>
        <sz val="10"/>
        <color theme="1"/>
        <rFont val="Segoe UI"/>
        <family val="2"/>
      </rPr>
      <t>Dashboard</t>
    </r>
    <r>
      <rPr>
        <sz val="10"/>
        <color theme="1"/>
        <rFont val="Segoe UI"/>
        <family val="2"/>
      </rPr>
      <t xml:space="preserve">. Within this worksheet, users will find six individual input forms.   </t>
    </r>
  </si>
  <si>
    <t xml:space="preserve">  - The final input form allows the user to define up to 10 unique zones (e.g. rooms in a house or sections of a building), describing the type, size, and amount of lights that are currently installed in each zone, as well as the type of lights that would
     be used to replace them.  The user is also required to enter the proportion of time that each of the areas lighting is left on during a typical day. The plots and results table, located near the bottom of the dashboard, should auto-update as data
     are entered or removed.</t>
  </si>
  <si>
    <t xml:space="preserve">  - The second input form allows for user-defined electricity price and grid emissions factor, if the pre-defined options are not suitable</t>
  </si>
  <si>
    <t xml:space="preserve">  - The third input form allows for a user-defined currency conversion from canadian dollars ($CAD) that will overwrite the pre-defined averages, as well as a currency symbol that will show up on the plots</t>
  </si>
  <si>
    <t xml:space="preserve">  - The fourth input form allows for users to specify the cost of replacing different types of lightbulbs, as well as the cost of labour if they are paying someone else to do the work</t>
  </si>
  <si>
    <t xml:space="preserve">  - The fifth input form allows for users to specify the useful lifetime of the different types of lightbulbs, i.e. how many hours they can be left on before needing to be replaced</t>
  </si>
  <si>
    <t>In order to save on energy, the person wants to replace all the existing light bulbs with high-efficiency LEDs. Looking at their past utility bills, they have also determined that their cost of electricity is about 3 cents lower than the provincial average.
Also, as they will not be hiring someone else to replace the bulbs, their labour cost will be zero.</t>
  </si>
  <si>
    <t>Upfront Cost</t>
  </si>
  <si>
    <t>Material</t>
  </si>
  <si>
    <t>Cost per Bulb</t>
  </si>
  <si>
    <t>Operating Cost Savings</t>
  </si>
  <si>
    <t>Project Savings</t>
  </si>
  <si>
    <t>Up-front Cost Savings</t>
  </si>
  <si>
    <t>Payback Period</t>
  </si>
  <si>
    <t>Simple Payback</t>
  </si>
  <si>
    <t>years</t>
  </si>
  <si>
    <t>months</t>
  </si>
  <si>
    <t>days</t>
  </si>
  <si>
    <r>
      <t>kgCO</t>
    </r>
    <r>
      <rPr>
        <vertAlign val="subscript"/>
        <sz val="10"/>
        <color theme="2" tint="-0.749992370372631"/>
        <rFont val="Segoe UI"/>
        <family val="2"/>
      </rPr>
      <t>2</t>
    </r>
    <r>
      <rPr>
        <sz val="10"/>
        <color theme="2" tint="-0.749992370372631"/>
        <rFont val="Segoe UI"/>
        <family val="2"/>
      </rPr>
      <t>e/year</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</si>
</sst>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164" formatCode="&quot;$&quot;#,##0.00"/>
    <numFmt numFmtId="165" formatCode="0.0000"/>
    <numFmt numFmtId="166" formatCode="0.000"/>
    <numFmt numFmtId="167" formatCode="&quot;$&quot;#,##0.000"/>
  </numFmts>
  <fonts count="17" x14ac:knownFonts="1">
    <font>
      <sz val="11"/>
      <color theme="1"/>
      <name val="Calibri"/>
      <family val="2"/>
      <scheme val="minor"/>
    </font>
    <font>
      <sz val="11"/>
      <color theme="1"/>
      <name val="Calibri"/>
      <family val="2"/>
      <scheme val="minor"/>
    </font>
    <font>
      <sz val="10"/>
      <color theme="1"/>
      <name val="Segoe UI"/>
      <family val="2"/>
    </font>
    <font>
      <i/>
      <sz val="10"/>
      <color theme="2" tint="-0.749992370372631"/>
      <name val="Segoe UI"/>
      <family val="2"/>
    </font>
    <font>
      <b/>
      <sz val="9"/>
      <color theme="1"/>
      <name val="Segoe UI"/>
      <family val="2"/>
    </font>
    <font>
      <b/>
      <sz val="11"/>
      <name val="Calibri"/>
      <family val="2"/>
      <scheme val="minor"/>
    </font>
    <font>
      <sz val="11"/>
      <name val="Calibri"/>
      <family val="2"/>
      <scheme val="minor"/>
    </font>
    <font>
      <b/>
      <sz val="10"/>
      <color theme="1"/>
      <name val="Segoe UI"/>
      <family val="2"/>
    </font>
    <font>
      <b/>
      <sz val="11"/>
      <color theme="1"/>
      <name val="Calibri"/>
      <family val="2"/>
      <scheme val="minor"/>
    </font>
    <font>
      <u/>
      <sz val="9"/>
      <color theme="1"/>
      <name val="Segoe UI"/>
      <family val="2"/>
    </font>
    <font>
      <i/>
      <sz val="10"/>
      <color theme="1"/>
      <name val="Segoe UI"/>
      <family val="2"/>
    </font>
    <font>
      <sz val="10"/>
      <color theme="1"/>
      <name val="Calibri"/>
      <family val="2"/>
    </font>
    <font>
      <i/>
      <u/>
      <sz val="10"/>
      <color theme="1"/>
      <name val="Segoe UI"/>
      <family val="2"/>
    </font>
    <font>
      <i/>
      <u/>
      <sz val="11"/>
      <name val="Calibri"/>
      <family val="2"/>
      <scheme val="minor"/>
    </font>
    <font>
      <sz val="9"/>
      <color theme="1"/>
      <name val="Segoe UI"/>
      <family val="2"/>
    </font>
    <font>
      <sz val="10"/>
      <color theme="2" tint="-0.749992370372631"/>
      <name val="Segoe UI"/>
      <family val="2"/>
    </font>
    <font>
      <vertAlign val="subscript"/>
      <sz val="10"/>
      <color theme="2" tint="-0.749992370372631"/>
      <name val="Segoe UI"/>
      <family val="2"/>
    </font>
  </fonts>
  <fills count="6">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2"/>
        <bgColor indexed="64"/>
      </patternFill>
    </fill>
  </fills>
  <borders count="3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style="dotted">
        <color theme="1" tint="0.499984740745262"/>
      </left>
      <right style="medium">
        <color indexed="64"/>
      </right>
      <top style="thin">
        <color indexed="64"/>
      </top>
      <bottom/>
      <diagonal/>
    </border>
    <border>
      <left/>
      <right style="dotted">
        <color theme="1" tint="0.499984740745262"/>
      </right>
      <top/>
      <bottom/>
      <diagonal/>
    </border>
    <border>
      <left style="dotted">
        <color theme="1" tint="0.499984740745262"/>
      </left>
      <right style="medium">
        <color indexed="64"/>
      </right>
      <top/>
      <bottom/>
      <diagonal/>
    </border>
    <border>
      <left style="dotted">
        <color theme="1" tint="0.499984740745262"/>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9">
    <xf numFmtId="0" fontId="0" fillId="0" borderId="0" xfId="0"/>
    <xf numFmtId="0" fontId="0" fillId="0" borderId="0" xfId="0" applyFont="1" applyFill="1" applyBorder="1"/>
    <xf numFmtId="9" fontId="1" fillId="0" borderId="0" xfId="2" applyNumberFormat="1" applyFont="1" applyFill="1" applyBorder="1"/>
    <xf numFmtId="3" fontId="0" fillId="0" borderId="0" xfId="0" applyNumberFormat="1" applyFont="1" applyFill="1" applyBorder="1"/>
    <xf numFmtId="44" fontId="1" fillId="0" borderId="0" xfId="1" applyNumberFormat="1" applyFont="1" applyFill="1" applyBorder="1"/>
    <xf numFmtId="0" fontId="0" fillId="0" borderId="1" xfId="0" applyFont="1" applyFill="1" applyBorder="1"/>
    <xf numFmtId="9" fontId="1" fillId="0" borderId="1" xfId="2" applyNumberFormat="1" applyFont="1" applyFill="1" applyBorder="1"/>
    <xf numFmtId="3" fontId="0" fillId="0" borderId="1" xfId="0" applyNumberFormat="1" applyFont="1" applyFill="1" applyBorder="1"/>
    <xf numFmtId="44" fontId="1" fillId="0" borderId="1" xfId="1" applyNumberFormat="1" applyFont="1" applyFill="1" applyBorder="1"/>
    <xf numFmtId="0" fontId="0" fillId="0" borderId="1" xfId="0" applyBorder="1"/>
    <xf numFmtId="0" fontId="0" fillId="0" borderId="1" xfId="0" applyBorder="1" applyAlignment="1">
      <alignment horizontal="center"/>
    </xf>
    <xf numFmtId="0" fontId="0" fillId="0" borderId="1" xfId="0" applyFont="1" applyFill="1" applyBorder="1" applyAlignment="1">
      <alignment horizontal="center"/>
    </xf>
    <xf numFmtId="165" fontId="0" fillId="0" borderId="0" xfId="0" applyNumberFormat="1"/>
    <xf numFmtId="0" fontId="0" fillId="0" borderId="1" xfId="0" applyFill="1" applyBorder="1" applyAlignment="1">
      <alignment horizontal="center"/>
    </xf>
    <xf numFmtId="0" fontId="3" fillId="2" borderId="16" xfId="0" applyFont="1" applyFill="1" applyBorder="1"/>
    <xf numFmtId="166" fontId="2" fillId="5" borderId="14" xfId="0" applyNumberFormat="1" applyFont="1" applyFill="1" applyBorder="1"/>
    <xf numFmtId="0" fontId="2" fillId="5" borderId="10" xfId="0" applyFont="1" applyFill="1" applyBorder="1" applyAlignment="1">
      <alignment horizontal="center"/>
    </xf>
    <xf numFmtId="0" fontId="4" fillId="2" borderId="1" xfId="0" applyFont="1" applyFill="1" applyBorder="1" applyAlignment="1">
      <alignment horizontal="center"/>
    </xf>
    <xf numFmtId="0" fontId="4" fillId="2" borderId="8" xfId="0" applyFont="1" applyFill="1" applyBorder="1" applyAlignment="1">
      <alignment horizontal="center"/>
    </xf>
    <xf numFmtId="0" fontId="4" fillId="3" borderId="12" xfId="0" applyFont="1" applyFill="1" applyBorder="1"/>
    <xf numFmtId="0" fontId="5" fillId="0" borderId="0" xfId="0" applyFont="1" applyAlignment="1"/>
    <xf numFmtId="0" fontId="6" fillId="0" borderId="0" xfId="0" applyFont="1"/>
    <xf numFmtId="0" fontId="6" fillId="0" borderId="3" xfId="0" applyFont="1" applyBorder="1" applyAlignment="1">
      <alignment horizontal="center"/>
    </xf>
    <xf numFmtId="166" fontId="6" fillId="0" borderId="0" xfId="0" applyNumberFormat="1" applyFont="1"/>
    <xf numFmtId="0" fontId="6" fillId="0" borderId="1" xfId="0" applyFont="1" applyBorder="1"/>
    <xf numFmtId="166" fontId="6" fillId="0" borderId="1" xfId="0" applyNumberFormat="1" applyFont="1" applyBorder="1"/>
    <xf numFmtId="0" fontId="5" fillId="0" borderId="0" xfId="0" applyFont="1"/>
    <xf numFmtId="0" fontId="5" fillId="0" borderId="1" xfId="0" applyFont="1" applyBorder="1"/>
    <xf numFmtId="0" fontId="2" fillId="4" borderId="9" xfId="0" applyFont="1" applyFill="1" applyBorder="1" applyAlignment="1" applyProtection="1">
      <alignment horizontal="center"/>
      <protection locked="0"/>
    </xf>
    <xf numFmtId="0" fontId="2" fillId="4" borderId="2" xfId="0" applyFont="1" applyFill="1" applyBorder="1" applyAlignment="1" applyProtection="1">
      <alignment horizontal="center"/>
      <protection locked="0"/>
    </xf>
    <xf numFmtId="9" fontId="2" fillId="4" borderId="2" xfId="2" applyFont="1" applyFill="1" applyBorder="1" applyAlignment="1" applyProtection="1">
      <alignment horizontal="center"/>
      <protection locked="0"/>
    </xf>
    <xf numFmtId="0" fontId="2" fillId="4" borderId="0" xfId="0" applyFont="1" applyFill="1" applyBorder="1" applyAlignment="1" applyProtection="1">
      <alignment horizontal="center"/>
      <protection locked="0"/>
    </xf>
    <xf numFmtId="0" fontId="2" fillId="5" borderId="11" xfId="0" applyFont="1" applyFill="1" applyBorder="1" applyAlignment="1" applyProtection="1">
      <alignment horizontal="center"/>
      <protection locked="0"/>
    </xf>
    <xf numFmtId="0" fontId="2" fillId="5" borderId="0" xfId="0" applyFont="1" applyFill="1" applyBorder="1" applyAlignment="1" applyProtection="1">
      <alignment horizontal="center"/>
      <protection locked="0"/>
    </xf>
    <xf numFmtId="9" fontId="2" fillId="5" borderId="0" xfId="2" applyFont="1" applyFill="1" applyBorder="1" applyAlignment="1" applyProtection="1">
      <alignment horizontal="center"/>
      <protection locked="0"/>
    </xf>
    <xf numFmtId="0" fontId="2" fillId="4" borderId="11" xfId="0" applyFont="1" applyFill="1" applyBorder="1" applyAlignment="1" applyProtection="1">
      <alignment horizontal="center"/>
      <protection locked="0"/>
    </xf>
    <xf numFmtId="9" fontId="2" fillId="4" borderId="0" xfId="2" applyFont="1" applyFill="1" applyBorder="1" applyAlignment="1" applyProtection="1">
      <alignment horizontal="center"/>
      <protection locked="0"/>
    </xf>
    <xf numFmtId="0" fontId="2" fillId="5" borderId="12" xfId="0" applyFont="1" applyFill="1" applyBorder="1" applyAlignment="1" applyProtection="1">
      <alignment horizontal="center"/>
      <protection locked="0"/>
    </xf>
    <xf numFmtId="0" fontId="2" fillId="5" borderId="13" xfId="0" applyFont="1" applyFill="1" applyBorder="1" applyAlignment="1" applyProtection="1">
      <alignment horizontal="center"/>
      <protection locked="0"/>
    </xf>
    <xf numFmtId="9" fontId="2" fillId="5" borderId="13" xfId="2" applyFont="1" applyFill="1" applyBorder="1" applyAlignment="1" applyProtection="1">
      <alignment horizontal="center"/>
      <protection locked="0"/>
    </xf>
    <xf numFmtId="0" fontId="2" fillId="0" borderId="0" xfId="0" applyFont="1" applyAlignment="1">
      <alignment horizontal="left" vertical="top" wrapText="1"/>
    </xf>
    <xf numFmtId="0" fontId="4" fillId="3" borderId="4" xfId="0" applyFont="1" applyFill="1" applyBorder="1"/>
    <xf numFmtId="0" fontId="3" fillId="2" borderId="15" xfId="0" applyFont="1" applyFill="1" applyBorder="1"/>
    <xf numFmtId="167" fontId="2" fillId="0" borderId="6" xfId="0" applyNumberFormat="1" applyFont="1" applyBorder="1"/>
    <xf numFmtId="167" fontId="2" fillId="0" borderId="0" xfId="0" applyNumberFormat="1" applyFont="1" applyBorder="1"/>
    <xf numFmtId="166" fontId="2" fillId="0" borderId="0" xfId="0" applyNumberFormat="1" applyFont="1" applyFill="1" applyBorder="1"/>
    <xf numFmtId="0" fontId="4" fillId="0" borderId="0" xfId="0" applyFont="1" applyAlignment="1">
      <alignment horizontal="center"/>
    </xf>
    <xf numFmtId="0" fontId="9" fillId="0" borderId="0" xfId="0" applyFont="1" applyFill="1"/>
    <xf numFmtId="0" fontId="7" fillId="0" borderId="0" xfId="0" applyFont="1" applyAlignment="1">
      <alignment horizontal="left" vertical="top" wrapText="1"/>
    </xf>
    <xf numFmtId="0" fontId="8" fillId="0" borderId="0" xfId="0" applyFont="1"/>
    <xf numFmtId="167" fontId="2" fillId="0" borderId="17" xfId="0" applyNumberFormat="1" applyFont="1" applyFill="1" applyBorder="1" applyProtection="1">
      <protection locked="0"/>
    </xf>
    <xf numFmtId="166" fontId="2" fillId="5" borderId="18" xfId="0" applyNumberFormat="1" applyFont="1" applyFill="1" applyBorder="1" applyProtection="1">
      <protection locked="0"/>
    </xf>
    <xf numFmtId="0" fontId="2" fillId="0" borderId="0" xfId="0" applyFont="1"/>
    <xf numFmtId="0" fontId="7" fillId="0" borderId="0" xfId="0" applyFont="1"/>
    <xf numFmtId="0" fontId="2" fillId="0" borderId="0" xfId="0" applyFont="1" applyAlignment="1">
      <alignment wrapText="1"/>
    </xf>
    <xf numFmtId="0" fontId="2" fillId="0" borderId="0" xfId="0" applyFont="1" applyAlignment="1">
      <alignment vertical="top" wrapText="1"/>
    </xf>
    <xf numFmtId="0" fontId="0" fillId="0" borderId="0" xfId="0" applyAlignment="1">
      <alignment vertical="top"/>
    </xf>
    <xf numFmtId="0" fontId="2" fillId="0" borderId="0" xfId="0" applyFont="1" applyAlignment="1">
      <alignment vertical="center" wrapText="1"/>
    </xf>
    <xf numFmtId="0" fontId="12" fillId="0" borderId="0" xfId="0" applyFont="1"/>
    <xf numFmtId="0" fontId="0" fillId="0" borderId="0" xfId="0" applyFill="1" applyBorder="1" applyAlignment="1">
      <alignment horizontal="center"/>
    </xf>
    <xf numFmtId="0" fontId="2" fillId="4" borderId="23" xfId="0" applyFont="1" applyFill="1" applyBorder="1" applyAlignment="1">
      <alignment horizontal="center"/>
    </xf>
    <xf numFmtId="0" fontId="2" fillId="5" borderId="24" xfId="0" applyFont="1" applyFill="1" applyBorder="1" applyAlignment="1" applyProtection="1">
      <alignment horizontal="center"/>
      <protection locked="0"/>
    </xf>
    <xf numFmtId="0" fontId="2" fillId="4" borderId="25" xfId="0" applyFont="1" applyFill="1" applyBorder="1" applyAlignment="1">
      <alignment horizontal="center"/>
    </xf>
    <xf numFmtId="0" fontId="2" fillId="5" borderId="25" xfId="0" applyFont="1" applyFill="1" applyBorder="1" applyAlignment="1">
      <alignment horizontal="center"/>
    </xf>
    <xf numFmtId="0" fontId="2" fillId="5" borderId="26" xfId="0" applyFont="1" applyFill="1" applyBorder="1" applyAlignment="1">
      <alignment horizontal="center"/>
    </xf>
    <xf numFmtId="0" fontId="0" fillId="0" borderId="0" xfId="0" applyAlignment="1">
      <alignment horizontal="center"/>
    </xf>
    <xf numFmtId="0" fontId="0" fillId="0" borderId="0" xfId="0" applyBorder="1"/>
    <xf numFmtId="166" fontId="2" fillId="0" borderId="6" xfId="0" applyNumberFormat="1" applyFont="1" applyFill="1" applyBorder="1"/>
    <xf numFmtId="0" fontId="2" fillId="0" borderId="17" xfId="0" applyFont="1" applyFill="1" applyBorder="1" applyProtection="1">
      <protection locked="0"/>
    </xf>
    <xf numFmtId="0" fontId="6" fillId="0" borderId="0" xfId="0" applyFont="1" applyAlignment="1">
      <alignment horizontal="right"/>
    </xf>
    <xf numFmtId="2" fontId="6" fillId="0" borderId="0" xfId="1" applyNumberFormat="1" applyFont="1"/>
    <xf numFmtId="2" fontId="6" fillId="0" borderId="0" xfId="0" applyNumberFormat="1" applyFont="1"/>
    <xf numFmtId="2" fontId="6" fillId="0" borderId="1" xfId="1" applyNumberFormat="1" applyFont="1" applyBorder="1"/>
    <xf numFmtId="2" fontId="6" fillId="0" borderId="1" xfId="0" applyNumberFormat="1" applyFont="1" applyBorder="1"/>
    <xf numFmtId="0" fontId="3" fillId="2" borderId="21" xfId="0" applyFont="1" applyFill="1" applyBorder="1"/>
    <xf numFmtId="0" fontId="3" fillId="2" borderId="22" xfId="0" applyFont="1" applyFill="1" applyBorder="1"/>
    <xf numFmtId="0" fontId="4" fillId="3" borderId="11" xfId="0" applyFont="1" applyFill="1" applyBorder="1"/>
    <xf numFmtId="0" fontId="4" fillId="3" borderId="9" xfId="0" applyFont="1" applyFill="1" applyBorder="1"/>
    <xf numFmtId="0" fontId="13" fillId="0" borderId="0" xfId="0" applyFont="1"/>
    <xf numFmtId="0" fontId="6" fillId="0" borderId="2" xfId="0" applyFont="1" applyBorder="1"/>
    <xf numFmtId="0" fontId="6" fillId="0" borderId="0" xfId="0" applyFont="1" applyBorder="1"/>
    <xf numFmtId="2" fontId="6" fillId="0" borderId="2" xfId="1" applyNumberFormat="1" applyFont="1" applyBorder="1"/>
    <xf numFmtId="2" fontId="6" fillId="0" borderId="0" xfId="1" applyNumberFormat="1" applyFont="1" applyBorder="1"/>
    <xf numFmtId="2" fontId="6" fillId="0" borderId="2" xfId="0" applyNumberFormat="1" applyFont="1" applyBorder="1"/>
    <xf numFmtId="2" fontId="6" fillId="0" borderId="0" xfId="0" applyNumberFormat="1" applyFont="1" applyBorder="1"/>
    <xf numFmtId="0" fontId="2" fillId="5" borderId="14" xfId="0" applyFont="1" applyFill="1" applyBorder="1" applyAlignment="1">
      <alignment horizontal="right"/>
    </xf>
    <xf numFmtId="164" fontId="2" fillId="0" borderId="6" xfId="0" applyNumberFormat="1" applyFont="1" applyBorder="1"/>
    <xf numFmtId="164" fontId="2" fillId="5" borderId="10" xfId="0" applyNumberFormat="1" applyFont="1" applyFill="1" applyBorder="1"/>
    <xf numFmtId="164" fontId="2" fillId="0" borderId="10" xfId="0" applyNumberFormat="1" applyFont="1" applyBorder="1"/>
    <xf numFmtId="164" fontId="2" fillId="0" borderId="27" xfId="0" applyNumberFormat="1" applyFont="1" applyBorder="1"/>
    <xf numFmtId="0" fontId="2" fillId="5" borderId="14" xfId="0" applyFont="1" applyFill="1" applyBorder="1"/>
    <xf numFmtId="3" fontId="2" fillId="0" borderId="6" xfId="0" applyNumberFormat="1" applyFont="1" applyBorder="1"/>
    <xf numFmtId="3" fontId="2" fillId="5" borderId="10" xfId="0" applyNumberFormat="1" applyFont="1" applyFill="1" applyBorder="1"/>
    <xf numFmtId="3" fontId="2" fillId="0" borderId="10" xfId="0" applyNumberFormat="1" applyFont="1" applyBorder="1"/>
    <xf numFmtId="3" fontId="2" fillId="5" borderId="14" xfId="0" applyNumberFormat="1" applyFont="1" applyFill="1" applyBorder="1"/>
    <xf numFmtId="3" fontId="6" fillId="0" borderId="2" xfId="0" applyNumberFormat="1" applyFont="1" applyBorder="1"/>
    <xf numFmtId="3" fontId="6" fillId="0" borderId="0" xfId="0" applyNumberFormat="1" applyFont="1" applyBorder="1"/>
    <xf numFmtId="3" fontId="6" fillId="0" borderId="1" xfId="0" applyNumberFormat="1" applyFont="1" applyBorder="1"/>
    <xf numFmtId="0" fontId="12" fillId="0" borderId="0" xfId="0" applyFont="1" applyBorder="1"/>
    <xf numFmtId="3" fontId="2" fillId="0" borderId="17" xfId="0" applyNumberFormat="1" applyFont="1" applyBorder="1" applyProtection="1">
      <protection locked="0"/>
    </xf>
    <xf numFmtId="3" fontId="2" fillId="5" borderId="28" xfId="0" applyNumberFormat="1" applyFont="1" applyFill="1" applyBorder="1" applyProtection="1">
      <protection locked="0"/>
    </xf>
    <xf numFmtId="3" fontId="2" fillId="0" borderId="28" xfId="0" applyNumberFormat="1" applyFont="1" applyBorder="1" applyProtection="1">
      <protection locked="0"/>
    </xf>
    <xf numFmtId="3" fontId="2" fillId="5" borderId="18" xfId="0" applyNumberFormat="1" applyFont="1" applyFill="1" applyBorder="1" applyProtection="1">
      <protection locked="0"/>
    </xf>
    <xf numFmtId="0" fontId="2" fillId="0" borderId="17" xfId="0" applyFont="1" applyBorder="1" applyProtection="1">
      <protection locked="0"/>
    </xf>
    <xf numFmtId="0" fontId="2" fillId="5" borderId="28" xfId="0" applyFont="1" applyFill="1" applyBorder="1" applyProtection="1">
      <protection locked="0"/>
    </xf>
    <xf numFmtId="0" fontId="2" fillId="0" borderId="28" xfId="0" applyFont="1" applyBorder="1" applyProtection="1">
      <protection locked="0"/>
    </xf>
    <xf numFmtId="0" fontId="2" fillId="5" borderId="29" xfId="0" applyFont="1" applyFill="1" applyBorder="1" applyProtection="1">
      <protection locked="0"/>
    </xf>
    <xf numFmtId="0" fontId="2" fillId="5" borderId="18" xfId="0" applyFont="1" applyFill="1" applyBorder="1" applyProtection="1">
      <protection locked="0"/>
    </xf>
    <xf numFmtId="3" fontId="2" fillId="5" borderId="0" xfId="0" applyNumberFormat="1" applyFont="1" applyFill="1" applyBorder="1" applyAlignment="1">
      <alignment horizontal="center"/>
    </xf>
    <xf numFmtId="3" fontId="2" fillId="5" borderId="10" xfId="0" applyNumberFormat="1" applyFont="1" applyFill="1" applyBorder="1" applyAlignment="1">
      <alignment horizontal="center"/>
    </xf>
    <xf numFmtId="3" fontId="2" fillId="0" borderId="0" xfId="0" applyNumberFormat="1" applyFont="1" applyBorder="1" applyAlignment="1">
      <alignment horizontal="center"/>
    </xf>
    <xf numFmtId="3" fontId="2" fillId="0" borderId="10" xfId="0" applyNumberFormat="1" applyFont="1" applyBorder="1" applyAlignment="1">
      <alignment horizontal="center"/>
    </xf>
    <xf numFmtId="3" fontId="2" fillId="5" borderId="13" xfId="0" applyNumberFormat="1" applyFont="1" applyFill="1" applyBorder="1" applyAlignment="1">
      <alignment horizontal="center"/>
    </xf>
    <xf numFmtId="3" fontId="2" fillId="5" borderId="14" xfId="0" applyNumberFormat="1" applyFont="1" applyFill="1" applyBorder="1" applyAlignment="1">
      <alignment horizontal="center"/>
    </xf>
    <xf numFmtId="0" fontId="4" fillId="3" borderId="11" xfId="0" applyFont="1" applyFill="1" applyBorder="1" applyAlignment="1">
      <alignment horizontal="left"/>
    </xf>
    <xf numFmtId="0" fontId="4" fillId="3" borderId="0" xfId="0" applyFont="1" applyFill="1" applyBorder="1" applyAlignment="1">
      <alignment horizontal="left"/>
    </xf>
    <xf numFmtId="0" fontId="4" fillId="3" borderId="10" xfId="0" applyFont="1" applyFill="1" applyBorder="1" applyAlignment="1">
      <alignment horizontal="left"/>
    </xf>
    <xf numFmtId="0" fontId="4" fillId="3" borderId="4" xfId="0" applyFont="1" applyFill="1" applyBorder="1" applyAlignment="1">
      <alignment horizontal="left"/>
    </xf>
    <xf numFmtId="0" fontId="4" fillId="3" borderId="5" xfId="0" applyFont="1" applyFill="1" applyBorder="1" applyAlignment="1">
      <alignment horizontal="left"/>
    </xf>
    <xf numFmtId="0" fontId="4" fillId="3" borderId="6" xfId="0" applyFont="1" applyFill="1" applyBorder="1" applyAlignment="1">
      <alignment horizontal="left"/>
    </xf>
    <xf numFmtId="0" fontId="2" fillId="0" borderId="19"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4" fillId="3" borderId="15" xfId="0" applyFont="1" applyFill="1" applyBorder="1" applyAlignment="1">
      <alignment horizontal="left"/>
    </xf>
    <xf numFmtId="0" fontId="4" fillId="3" borderId="5" xfId="0" applyFont="1" applyFill="1" applyBorder="1" applyAlignment="1">
      <alignment horizontal="center"/>
    </xf>
    <xf numFmtId="0" fontId="2" fillId="5" borderId="20" xfId="0" applyFont="1" applyFill="1" applyBorder="1" applyAlignment="1" applyProtection="1">
      <alignment horizontal="center"/>
      <protection locked="0"/>
    </xf>
    <xf numFmtId="0" fontId="2" fillId="5" borderId="13" xfId="0" applyFont="1" applyFill="1" applyBorder="1" applyAlignment="1" applyProtection="1">
      <alignment horizontal="center"/>
      <protection locked="0"/>
    </xf>
    <xf numFmtId="0" fontId="2" fillId="5" borderId="14" xfId="0" applyFont="1" applyFill="1" applyBorder="1" applyAlignment="1" applyProtection="1">
      <alignment horizontal="center"/>
      <protection locked="0"/>
    </xf>
    <xf numFmtId="0" fontId="4" fillId="3" borderId="6" xfId="0" applyFont="1" applyFill="1" applyBorder="1" applyAlignment="1">
      <alignment horizontal="center"/>
    </xf>
    <xf numFmtId="0" fontId="4" fillId="3" borderId="5"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2" xfId="0" applyFont="1" applyFill="1" applyBorder="1" applyAlignment="1">
      <alignment horizontal="left"/>
    </xf>
    <xf numFmtId="0" fontId="4" fillId="3" borderId="16" xfId="0" applyFont="1" applyFill="1" applyBorder="1" applyAlignment="1">
      <alignment horizontal="left"/>
    </xf>
    <xf numFmtId="0" fontId="6" fillId="0" borderId="3" xfId="0" applyFont="1" applyBorder="1" applyAlignment="1">
      <alignment wrapText="1"/>
    </xf>
    <xf numFmtId="0" fontId="6" fillId="0" borderId="0" xfId="0" applyFont="1" applyBorder="1" applyAlignment="1">
      <alignment wrapText="1"/>
    </xf>
    <xf numFmtId="44" fontId="6" fillId="0" borderId="0" xfId="1" applyFont="1"/>
    <xf numFmtId="44" fontId="6" fillId="0" borderId="1" xfId="1" applyFont="1" applyBorder="1"/>
    <xf numFmtId="44" fontId="6" fillId="0" borderId="0" xfId="0" applyNumberFormat="1" applyFont="1"/>
    <xf numFmtId="44" fontId="6" fillId="0" borderId="1" xfId="0" applyNumberFormat="1" applyFont="1" applyBorder="1"/>
    <xf numFmtId="3" fontId="2" fillId="0" borderId="0" xfId="0" applyNumberFormat="1" applyFont="1" applyFill="1" applyBorder="1" applyAlignment="1">
      <alignment horizontal="center"/>
    </xf>
    <xf numFmtId="3" fontId="2" fillId="0" borderId="10" xfId="0" applyNumberFormat="1" applyFont="1" applyFill="1" applyBorder="1" applyAlignment="1">
      <alignment horizontal="center"/>
    </xf>
    <xf numFmtId="0" fontId="2" fillId="0" borderId="0" xfId="0" applyFont="1" applyBorder="1" applyAlignment="1">
      <alignment horizontal="center"/>
    </xf>
    <xf numFmtId="0" fontId="2" fillId="0" borderId="10" xfId="0" applyFont="1" applyBorder="1" applyAlignment="1">
      <alignment horizontal="center"/>
    </xf>
    <xf numFmtId="0" fontId="2" fillId="5" borderId="0" xfId="0" applyNumberFormat="1" applyFont="1" applyFill="1" applyBorder="1" applyAlignment="1">
      <alignment horizontal="center"/>
    </xf>
    <xf numFmtId="0" fontId="2" fillId="5" borderId="10" xfId="0" applyNumberFormat="1" applyFont="1" applyFill="1" applyBorder="1" applyAlignment="1">
      <alignment horizontal="center"/>
    </xf>
    <xf numFmtId="0" fontId="2" fillId="0" borderId="0" xfId="0" applyNumberFormat="1" applyFont="1" applyBorder="1" applyAlignment="1">
      <alignment horizontal="center"/>
    </xf>
    <xf numFmtId="0" fontId="2" fillId="0" borderId="10" xfId="0" applyNumberFormat="1" applyFont="1" applyBorder="1" applyAlignment="1">
      <alignment horizontal="center"/>
    </xf>
    <xf numFmtId="0" fontId="14" fillId="2" borderId="11" xfId="0" applyFont="1" applyFill="1" applyBorder="1" applyAlignment="1">
      <alignment horizontal="left"/>
    </xf>
    <xf numFmtId="0" fontId="14" fillId="2" borderId="11" xfId="0" applyFont="1" applyFill="1" applyBorder="1" applyAlignment="1">
      <alignment horizontal="left" vertical="center"/>
    </xf>
    <xf numFmtId="0" fontId="14" fillId="2" borderId="12" xfId="0" applyFont="1" applyFill="1" applyBorder="1" applyAlignment="1">
      <alignment horizontal="left"/>
    </xf>
    <xf numFmtId="0" fontId="14" fillId="2" borderId="22" xfId="0" applyFont="1" applyFill="1" applyBorder="1" applyAlignment="1">
      <alignment horizontal="left"/>
    </xf>
    <xf numFmtId="0" fontId="14" fillId="2" borderId="22" xfId="0" applyFont="1" applyFill="1" applyBorder="1" applyAlignment="1">
      <alignment horizontal="left" vertical="center"/>
    </xf>
    <xf numFmtId="0" fontId="14" fillId="2" borderId="16" xfId="0" applyFont="1" applyFill="1" applyBorder="1" applyAlignment="1">
      <alignment horizontal="left"/>
    </xf>
    <xf numFmtId="0" fontId="15" fillId="0" borderId="0" xfId="0" applyFont="1" applyBorder="1"/>
    <xf numFmtId="0" fontId="15" fillId="5" borderId="13" xfId="0" applyFont="1" applyFill="1" applyBorder="1"/>
    <xf numFmtId="0" fontId="15" fillId="5" borderId="0" xfId="0" applyFont="1" applyFill="1" applyBorder="1"/>
    <xf numFmtId="0" fontId="15" fillId="0" borderId="0" xfId="0" applyFont="1" applyFill="1" applyBorder="1"/>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7A5195"/>
      <color rgb="FFEF5675"/>
      <color rgb="FF003F5C"/>
      <color rgb="FFBC5090"/>
      <color rgb="FFFFA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1" i="0" u="none" strike="noStrike" kern="1200" spc="0" baseline="0">
                <a:solidFill>
                  <a:sysClr val="windowText" lastClr="000000"/>
                </a:solidFill>
                <a:latin typeface="Arial Narrow" panose="020B0606020202030204" pitchFamily="34" charset="0"/>
                <a:ea typeface="+mn-ea"/>
                <a:cs typeface="+mn-cs"/>
              </a:defRPr>
            </a:pPr>
            <a:r>
              <a:rPr lang="en-CA" b="1"/>
              <a:t>Annual Cost and Emissions by Source</a:t>
            </a:r>
          </a:p>
        </c:rich>
      </c:tx>
      <c:layout/>
      <c:overlay val="0"/>
      <c:spPr>
        <a:noFill/>
        <a:ln>
          <a:noFill/>
        </a:ln>
        <a:effectLst/>
      </c:spPr>
      <c:txPr>
        <a:bodyPr rot="0" spcFirstLastPara="1" vertOverflow="ellipsis" vert="horz" wrap="square" anchor="ctr" anchorCtr="1"/>
        <a:lstStyle/>
        <a:p>
          <a:pPr>
            <a:defRPr sz="1320" b="1"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Calculations!$M$27</c:f>
              <c:strCache>
                <c:ptCount val="1"/>
                <c:pt idx="0">
                  <c:v>Materials</c:v>
                </c:pt>
              </c:strCache>
            </c:strRef>
          </c:tx>
          <c:spPr>
            <a:solidFill>
              <a:srgbClr val="7A5195"/>
            </a:solidFill>
            <a:ln>
              <a:solidFill>
                <a:sysClr val="windowText" lastClr="000000"/>
              </a:solidFill>
            </a:ln>
            <a:effectLst/>
          </c:spPr>
          <c:invertIfNegative val="0"/>
          <c:cat>
            <c:strRef>
              <c:f>Calculations!$E$36:$H$36</c:f>
              <c:strCache>
                <c:ptCount val="4"/>
                <c:pt idx="0">
                  <c:v>Base Case
(Cost)</c:v>
                </c:pt>
                <c:pt idx="1">
                  <c:v>Project Case
(Cost)</c:v>
                </c:pt>
                <c:pt idx="2">
                  <c:v>Base Case
(Emissions)</c:v>
                </c:pt>
                <c:pt idx="3">
                  <c:v>Project Case
(Emissions)</c:v>
                </c:pt>
              </c:strCache>
            </c:strRef>
          </c:cat>
          <c:val>
            <c:numRef>
              <c:f>Calculations!$M$28:$M$29</c:f>
              <c:numCache>
                <c:formatCode>0.00</c:formatCode>
                <c:ptCount val="2"/>
                <c:pt idx="0">
                  <c:v>0</c:v>
                </c:pt>
                <c:pt idx="1">
                  <c:v>0</c:v>
                </c:pt>
              </c:numCache>
            </c:numRef>
          </c:val>
        </c:ser>
        <c:ser>
          <c:idx val="1"/>
          <c:order val="1"/>
          <c:tx>
            <c:strRef>
              <c:f>Calculations!$N$27</c:f>
              <c:strCache>
                <c:ptCount val="1"/>
                <c:pt idx="0">
                  <c:v>Labour</c:v>
                </c:pt>
              </c:strCache>
            </c:strRef>
          </c:tx>
          <c:spPr>
            <a:solidFill>
              <a:schemeClr val="accent2"/>
            </a:solidFill>
            <a:ln>
              <a:solidFill>
                <a:schemeClr val="tx1"/>
              </a:solidFill>
            </a:ln>
            <a:effectLst/>
          </c:spPr>
          <c:invertIfNegative val="0"/>
          <c:cat>
            <c:strRef>
              <c:f>Calculations!$E$36:$H$36</c:f>
              <c:strCache>
                <c:ptCount val="4"/>
                <c:pt idx="0">
                  <c:v>Base Case
(Cost)</c:v>
                </c:pt>
                <c:pt idx="1">
                  <c:v>Project Case
(Cost)</c:v>
                </c:pt>
                <c:pt idx="2">
                  <c:v>Base Case
(Emissions)</c:v>
                </c:pt>
                <c:pt idx="3">
                  <c:v>Project Case
(Emissions)</c:v>
                </c:pt>
              </c:strCache>
            </c:strRef>
          </c:cat>
          <c:val>
            <c:numRef>
              <c:f>Calculations!$N$28:$N$29</c:f>
              <c:numCache>
                <c:formatCode>0.00</c:formatCode>
                <c:ptCount val="2"/>
                <c:pt idx="0">
                  <c:v>0</c:v>
                </c:pt>
                <c:pt idx="1">
                  <c:v>0</c:v>
                </c:pt>
              </c:numCache>
            </c:numRef>
          </c:val>
        </c:ser>
        <c:ser>
          <c:idx val="2"/>
          <c:order val="2"/>
          <c:tx>
            <c:strRef>
              <c:f>Calculations!$O$27</c:f>
              <c:strCache>
                <c:ptCount val="1"/>
                <c:pt idx="0">
                  <c:v>Electricity</c:v>
                </c:pt>
              </c:strCache>
            </c:strRef>
          </c:tx>
          <c:spPr>
            <a:solidFill>
              <a:srgbClr val="FFA600"/>
            </a:solidFill>
            <a:ln>
              <a:solidFill>
                <a:sysClr val="windowText" lastClr="000000"/>
              </a:solidFill>
            </a:ln>
            <a:effectLst/>
          </c:spPr>
          <c:invertIfNegative val="0"/>
          <c:cat>
            <c:strRef>
              <c:f>Calculations!$E$36:$H$36</c:f>
              <c:strCache>
                <c:ptCount val="4"/>
                <c:pt idx="0">
                  <c:v>Base Case
(Cost)</c:v>
                </c:pt>
                <c:pt idx="1">
                  <c:v>Project Case
(Cost)</c:v>
                </c:pt>
                <c:pt idx="2">
                  <c:v>Base Case
(Emissions)</c:v>
                </c:pt>
                <c:pt idx="3">
                  <c:v>Project Case
(Emissions)</c:v>
                </c:pt>
              </c:strCache>
            </c:strRef>
          </c:cat>
          <c:val>
            <c:numRef>
              <c:f>Calculations!$O$28:$O$29</c:f>
              <c:numCache>
                <c:formatCode>0.00</c:formatCode>
                <c:ptCount val="2"/>
                <c:pt idx="0">
                  <c:v>0</c:v>
                </c:pt>
                <c:pt idx="1">
                  <c:v>0</c:v>
                </c:pt>
              </c:numCache>
            </c:numRef>
          </c:val>
        </c:ser>
        <c:dLbls>
          <c:showLegendKey val="0"/>
          <c:showVal val="0"/>
          <c:showCatName val="0"/>
          <c:showSerName val="0"/>
          <c:showPercent val="0"/>
          <c:showBubbleSize val="0"/>
        </c:dLbls>
        <c:gapWidth val="150"/>
        <c:overlap val="100"/>
        <c:axId val="1906299728"/>
        <c:axId val="1906291024"/>
      </c:barChart>
      <c:barChart>
        <c:barDir val="col"/>
        <c:grouping val="stacked"/>
        <c:varyColors val="0"/>
        <c:ser>
          <c:idx val="4"/>
          <c:order val="4"/>
          <c:tx>
            <c:v>ElectricityEmissions</c:v>
          </c:tx>
          <c:spPr>
            <a:solidFill>
              <a:srgbClr val="FFA600"/>
            </a:solidFill>
            <a:ln>
              <a:solidFill>
                <a:sysClr val="windowText" lastClr="000000"/>
              </a:solidFill>
            </a:ln>
            <a:effectLst/>
          </c:spPr>
          <c:invertIfNegative val="0"/>
          <c:val>
            <c:numRef>
              <c:f>Calculations!$Q$26:$Q$29</c:f>
              <c:numCache>
                <c:formatCode>General</c:formatCode>
                <c:ptCount val="4"/>
                <c:pt idx="2" formatCode="0.000">
                  <c:v>0</c:v>
                </c:pt>
                <c:pt idx="3" formatCode="0.000">
                  <c:v>0</c:v>
                </c:pt>
              </c:numCache>
            </c:numRef>
          </c:val>
        </c:ser>
        <c:dLbls>
          <c:showLegendKey val="0"/>
          <c:showVal val="0"/>
          <c:showCatName val="0"/>
          <c:showSerName val="0"/>
          <c:showPercent val="0"/>
          <c:showBubbleSize val="0"/>
        </c:dLbls>
        <c:gapWidth val="150"/>
        <c:overlap val="100"/>
        <c:axId val="1906297008"/>
        <c:axId val="1906300816"/>
      </c:barChart>
      <c:lineChart>
        <c:grouping val="standard"/>
        <c:varyColors val="0"/>
        <c:ser>
          <c:idx val="3"/>
          <c:order val="3"/>
          <c:tx>
            <c:v>Label</c:v>
          </c:tx>
          <c:spPr>
            <a:ln w="28575" cap="rnd">
              <a:solidFill>
                <a:schemeClr val="accent4"/>
              </a:solidFill>
              <a:round/>
            </a:ln>
            <a:effectLst/>
          </c:spPr>
          <c:marker>
            <c:symbol val="none"/>
          </c:marker>
          <c:dPt>
            <c:idx val="1"/>
            <c:marker>
              <c:symbol val="none"/>
            </c:marker>
            <c:bubble3D val="0"/>
            <c:spPr>
              <a:ln w="28575" cap="rnd">
                <a:noFill/>
                <a:round/>
              </a:ln>
              <a:effectLst/>
            </c:spPr>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2"/>
              <c:pt idx="0">
                <c:v>Base Case</c:v>
              </c:pt>
              <c:pt idx="1">
                <c:v>Project Case</c:v>
              </c:pt>
            </c:strLit>
          </c:cat>
          <c:val>
            <c:numRef>
              <c:f>Calculations!$P$28:$P$29</c:f>
              <c:numCache>
                <c:formatCode>0.00</c:formatCode>
                <c:ptCount val="2"/>
                <c:pt idx="0">
                  <c:v>0</c:v>
                </c:pt>
                <c:pt idx="1">
                  <c:v>0</c:v>
                </c:pt>
              </c:numCache>
            </c:numRef>
          </c:val>
          <c:smooth val="0"/>
        </c:ser>
        <c:dLbls>
          <c:showLegendKey val="0"/>
          <c:showVal val="0"/>
          <c:showCatName val="0"/>
          <c:showSerName val="0"/>
          <c:showPercent val="0"/>
          <c:showBubbleSize val="0"/>
        </c:dLbls>
        <c:marker val="1"/>
        <c:smooth val="0"/>
        <c:axId val="1906299728"/>
        <c:axId val="1906291024"/>
      </c:lineChart>
      <c:lineChart>
        <c:grouping val="standard"/>
        <c:varyColors val="0"/>
        <c:ser>
          <c:idx val="5"/>
          <c:order val="5"/>
          <c:tx>
            <c:v>Label2</c:v>
          </c:tx>
          <c:spPr>
            <a:ln w="28575" cap="rnd">
              <a:noFill/>
              <a:round/>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Calculations!$Q$26:$Q$29</c:f>
              <c:numCache>
                <c:formatCode>General</c:formatCode>
                <c:ptCount val="4"/>
                <c:pt idx="2" formatCode="0.000">
                  <c:v>0</c:v>
                </c:pt>
                <c:pt idx="3" formatCode="0.000">
                  <c:v>0</c:v>
                </c:pt>
              </c:numCache>
            </c:numRef>
          </c:val>
          <c:smooth val="0"/>
        </c:ser>
        <c:dLbls>
          <c:showLegendKey val="0"/>
          <c:showVal val="0"/>
          <c:showCatName val="0"/>
          <c:showSerName val="0"/>
          <c:showPercent val="0"/>
          <c:showBubbleSize val="0"/>
        </c:dLbls>
        <c:marker val="1"/>
        <c:smooth val="0"/>
        <c:axId val="1906297008"/>
        <c:axId val="1906300816"/>
      </c:lineChart>
      <c:catAx>
        <c:axId val="190629972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1906291024"/>
        <c:crosses val="autoZero"/>
        <c:auto val="1"/>
        <c:lblAlgn val="ctr"/>
        <c:lblOffset val="100"/>
        <c:noMultiLvlLbl val="0"/>
      </c:catAx>
      <c:valAx>
        <c:axId val="1906291024"/>
        <c:scaling>
          <c:orientation val="minMax"/>
        </c:scaling>
        <c:delete val="0"/>
        <c:axPos val="l"/>
        <c:majorGridlines>
          <c:spPr>
            <a:ln w="9525" cap="flat" cmpd="sng" algn="ctr">
              <a:solidFill>
                <a:schemeClr val="bg2">
                  <a:lumMod val="75000"/>
                </a:schemeClr>
              </a:solidFill>
              <a:round/>
            </a:ln>
            <a:effectLst/>
          </c:spPr>
        </c:majorGridlines>
        <c:title>
          <c:tx>
            <c:strRef>
              <c:f>Calculations!$B$4</c:f>
              <c:strCache>
                <c:ptCount val="1"/>
                <c:pt idx="0">
                  <c:v>Cost ()</c:v>
                </c:pt>
              </c:strCache>
            </c:strRef>
          </c:tx>
          <c:layout>
            <c:manualLayout>
              <c:xMode val="edge"/>
              <c:yMode val="edge"/>
              <c:x val="1.6840363301002931E-2"/>
              <c:y val="0.3629809009722841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1906299728"/>
        <c:crosses val="autoZero"/>
        <c:crossBetween val="between"/>
      </c:valAx>
      <c:valAx>
        <c:axId val="1906300816"/>
        <c:scaling>
          <c:orientation val="minMax"/>
        </c:scaling>
        <c:delete val="0"/>
        <c:axPos val="r"/>
        <c:title>
          <c:tx>
            <c:rich>
              <a:bodyPr rot="-54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r>
                  <a:rPr lang="en-CA"/>
                  <a:t>Emissions (kgCO2e)</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1906297008"/>
        <c:crosses val="max"/>
        <c:crossBetween val="between"/>
      </c:valAx>
      <c:catAx>
        <c:axId val="1906297008"/>
        <c:scaling>
          <c:orientation val="minMax"/>
        </c:scaling>
        <c:delete val="1"/>
        <c:axPos val="b"/>
        <c:majorTickMark val="out"/>
        <c:minorTickMark val="none"/>
        <c:tickLblPos val="nextTo"/>
        <c:crossAx val="1906300816"/>
        <c:crosses val="autoZero"/>
        <c:auto val="1"/>
        <c:lblAlgn val="ctr"/>
        <c:lblOffset val="100"/>
        <c:noMultiLvlLbl val="0"/>
      </c:catAx>
      <c:spPr>
        <a:noFill/>
        <a:ln>
          <a:noFill/>
        </a:ln>
        <a:effectLst/>
      </c:spPr>
    </c:plotArea>
    <c:legend>
      <c:legendPos val="b"/>
      <c:legendEntry>
        <c:idx val="3"/>
        <c:delete val="1"/>
      </c:legendEntry>
      <c:legendEntry>
        <c:idx val="4"/>
        <c:delete val="1"/>
      </c:legendEntry>
      <c:legendEntry>
        <c:idx val="5"/>
        <c:delete val="1"/>
      </c:legendEntry>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0"/>
    <c:dispBlanksAs val="gap"/>
    <c:showDLblsOverMax val="0"/>
  </c:chart>
  <c:spPr>
    <a:solidFill>
      <a:schemeClr val="bg1"/>
    </a:solidFill>
    <a:ln w="9525" cap="flat" cmpd="sng" algn="ctr">
      <a:solidFill>
        <a:sysClr val="windowText" lastClr="000000"/>
      </a:solidFill>
      <a:round/>
    </a:ln>
    <a:effectLst/>
  </c:spPr>
  <c:txPr>
    <a:bodyPr/>
    <a:lstStyle/>
    <a:p>
      <a:pPr>
        <a:defRPr sz="11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1" i="0" u="none" strike="noStrike" kern="1200" spc="0" baseline="0">
                <a:solidFill>
                  <a:sysClr val="windowText" lastClr="000000"/>
                </a:solidFill>
                <a:latin typeface="Arial Narrow" panose="020B0606020202030204" pitchFamily="34" charset="0"/>
                <a:ea typeface="+mn-ea"/>
                <a:cs typeface="+mn-cs"/>
              </a:defRPr>
            </a:pPr>
            <a:r>
              <a:rPr lang="en-CA" b="1"/>
              <a:t>Annual Cost by Lighting Zone</a:t>
            </a:r>
          </a:p>
        </c:rich>
      </c:tx>
      <c:layout/>
      <c:overlay val="0"/>
      <c:spPr>
        <a:noFill/>
        <a:ln>
          <a:noFill/>
        </a:ln>
        <a:effectLst/>
      </c:spPr>
      <c:txPr>
        <a:bodyPr rot="0" spcFirstLastPara="1" vertOverflow="ellipsis" vert="horz" wrap="square" anchor="ctr" anchorCtr="1"/>
        <a:lstStyle/>
        <a:p>
          <a:pPr>
            <a:defRPr sz="1320" b="1"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v>Base Case</c:v>
          </c:tx>
          <c:spPr>
            <a:solidFill>
              <a:srgbClr val="003F5C"/>
            </a:solidFill>
            <a:ln>
              <a:solidFill>
                <a:schemeClr val="tx1"/>
              </a:solidFill>
            </a:ln>
            <a:effectLst/>
          </c:spPr>
          <c:invertIfNegative val="0"/>
          <c:dLbls>
            <c:numFmt formatCode="#,##0" sourceLinked="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Calculations!$E$3:$E$12</c:f>
            </c:strRef>
          </c:cat>
          <c:val>
            <c:numRef>
              <c:f>[0]!ExistingTotalCost</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Project Case</c:v>
          </c:tx>
          <c:spPr>
            <a:solidFill>
              <a:srgbClr val="EF5675"/>
            </a:solidFill>
            <a:ln>
              <a:solidFill>
                <a:schemeClr val="tx1"/>
              </a:solid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Calculations!$E$3:$E$12</c:f>
            </c:strRef>
          </c:cat>
          <c:val>
            <c:numRef>
              <c:f>[0]!ReplacementTotalCost</c:f>
              <c:numCache>
                <c:formatCode>0.00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200"/>
        <c:axId val="1953798560"/>
        <c:axId val="1953792032"/>
      </c:barChart>
      <c:catAx>
        <c:axId val="19537985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1953792032"/>
        <c:crosses val="autoZero"/>
        <c:auto val="0"/>
        <c:lblAlgn val="ctr"/>
        <c:lblOffset val="100"/>
        <c:noMultiLvlLbl val="0"/>
      </c:catAx>
      <c:valAx>
        <c:axId val="1953792032"/>
        <c:scaling>
          <c:orientation val="minMax"/>
        </c:scaling>
        <c:delete val="0"/>
        <c:axPos val="l"/>
        <c:majorGridlines>
          <c:spPr>
            <a:ln w="9525" cap="flat" cmpd="sng" algn="ctr">
              <a:solidFill>
                <a:schemeClr val="bg2">
                  <a:lumMod val="75000"/>
                </a:schemeClr>
              </a:solidFill>
              <a:round/>
            </a:ln>
            <a:effectLst/>
          </c:spPr>
        </c:majorGridlines>
        <c:title>
          <c:tx>
            <c:strRef>
              <c:f>Calculations!$B$4</c:f>
              <c:strCache>
                <c:ptCount val="1"/>
                <c:pt idx="0">
                  <c:v>Cost ()</c:v>
                </c:pt>
              </c:strCache>
            </c:strRef>
          </c:tx>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19537985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0"/>
    <c:dispBlanksAs val="gap"/>
    <c:showDLblsOverMax val="0"/>
  </c:chart>
  <c:spPr>
    <a:solidFill>
      <a:schemeClr val="bg1"/>
    </a:solidFill>
    <a:ln w="9525" cap="flat" cmpd="sng" algn="ctr">
      <a:solidFill>
        <a:schemeClr val="tx1"/>
      </a:solidFill>
      <a:round/>
    </a:ln>
    <a:effectLst/>
  </c:spPr>
  <c:txPr>
    <a:bodyPr/>
    <a:lstStyle/>
    <a:p>
      <a:pPr>
        <a:defRPr sz="11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30</xdr:row>
      <xdr:rowOff>0</xdr:rowOff>
    </xdr:from>
    <xdr:to>
      <xdr:col>0</xdr:col>
      <xdr:colOff>13142859</xdr:colOff>
      <xdr:row>56</xdr:row>
      <xdr:rowOff>132714</xdr:rowOff>
    </xdr:to>
    <xdr:pic>
      <xdr:nvPicPr>
        <xdr:cNvPr id="2" name="Picture 1"/>
        <xdr:cNvPicPr>
          <a:picLocks noChangeAspect="1"/>
        </xdr:cNvPicPr>
      </xdr:nvPicPr>
      <xdr:blipFill>
        <a:blip xmlns:r="http://schemas.openxmlformats.org/officeDocument/2006/relationships" r:embed="rId1"/>
        <a:stretch>
          <a:fillRect/>
        </a:stretch>
      </xdr:blipFill>
      <xdr:spPr>
        <a:xfrm>
          <a:off x="19050" y="6248400"/>
          <a:ext cx="13123809" cy="5085714"/>
        </a:xfrm>
        <a:prstGeom prst="rect">
          <a:avLst/>
        </a:prstGeom>
      </xdr:spPr>
    </xdr:pic>
    <xdr:clientData/>
  </xdr:twoCellAnchor>
  <xdr:twoCellAnchor editAs="oneCell">
    <xdr:from>
      <xdr:col>0</xdr:col>
      <xdr:colOff>0</xdr:colOff>
      <xdr:row>56</xdr:row>
      <xdr:rowOff>123825</xdr:rowOff>
    </xdr:from>
    <xdr:to>
      <xdr:col>0</xdr:col>
      <xdr:colOff>13133333</xdr:colOff>
      <xdr:row>76</xdr:row>
      <xdr:rowOff>132873</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11325225"/>
          <a:ext cx="13133333" cy="38190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180976</xdr:colOff>
      <xdr:row>1</xdr:row>
      <xdr:rowOff>9525</xdr:rowOff>
    </xdr:from>
    <xdr:to>
      <xdr:col>3</xdr:col>
      <xdr:colOff>7988</xdr:colOff>
      <xdr:row>4</xdr:row>
      <xdr:rowOff>85725</xdr:rowOff>
    </xdr:to>
    <xdr:pic>
      <xdr:nvPicPr>
        <xdr:cNvPr id="15" name="Picture 1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6" y="104775"/>
          <a:ext cx="2332087" cy="657225"/>
        </a:xfrm>
        <a:prstGeom prst="rect">
          <a:avLst/>
        </a:prstGeom>
      </xdr:spPr>
    </xdr:pic>
    <xdr:clientData/>
  </xdr:twoCellAnchor>
  <xdr:twoCellAnchor>
    <xdr:from>
      <xdr:col>7</xdr:col>
      <xdr:colOff>0</xdr:colOff>
      <xdr:row>16</xdr:row>
      <xdr:rowOff>0</xdr:rowOff>
    </xdr:from>
    <xdr:to>
      <xdr:col>14</xdr:col>
      <xdr:colOff>0</xdr:colOff>
      <xdr:row>31</xdr:row>
      <xdr:rowOff>152368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32</xdr:row>
      <xdr:rowOff>188526</xdr:rowOff>
    </xdr:from>
    <xdr:to>
      <xdr:col>14</xdr:col>
      <xdr:colOff>0</xdr:colOff>
      <xdr:row>49</xdr:row>
      <xdr:rowOff>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2"/>
  <sheetViews>
    <sheetView showGridLines="0" zoomScaleNormal="100" workbookViewId="0"/>
  </sheetViews>
  <sheetFormatPr defaultColWidth="0" defaultRowHeight="15" zeroHeight="1" x14ac:dyDescent="0.25"/>
  <cols>
    <col min="1" max="1" width="207.140625" customWidth="1"/>
    <col min="2" max="2" width="0" hidden="1" customWidth="1"/>
    <col min="3" max="16384" width="9.140625" hidden="1"/>
  </cols>
  <sheetData>
    <row r="1" spans="1:1" s="49" customFormat="1" x14ac:dyDescent="0.25">
      <c r="A1" s="48" t="s">
        <v>95</v>
      </c>
    </row>
    <row r="2" spans="1:1" x14ac:dyDescent="0.25">
      <c r="A2" s="40" t="s">
        <v>96</v>
      </c>
    </row>
    <row r="3" spans="1:1" x14ac:dyDescent="0.25">
      <c r="A3" s="52"/>
    </row>
    <row r="4" spans="1:1" x14ac:dyDescent="0.25">
      <c r="A4" s="53" t="s">
        <v>97</v>
      </c>
    </row>
    <row r="5" spans="1:1" x14ac:dyDescent="0.25">
      <c r="A5" s="52" t="s">
        <v>98</v>
      </c>
    </row>
    <row r="6" spans="1:1" x14ac:dyDescent="0.25">
      <c r="A6" s="52" t="s">
        <v>99</v>
      </c>
    </row>
    <row r="7" spans="1:1" x14ac:dyDescent="0.25">
      <c r="A7" s="52" t="s">
        <v>100</v>
      </c>
    </row>
    <row r="8" spans="1:1" x14ac:dyDescent="0.25">
      <c r="A8" s="52" t="s">
        <v>101</v>
      </c>
    </row>
    <row r="9" spans="1:1" x14ac:dyDescent="0.25">
      <c r="A9" s="52" t="s">
        <v>102</v>
      </c>
    </row>
    <row r="10" spans="1:1" x14ac:dyDescent="0.25">
      <c r="A10" s="52" t="s">
        <v>103</v>
      </c>
    </row>
    <row r="11" spans="1:1" x14ac:dyDescent="0.25">
      <c r="A11" s="52" t="s">
        <v>104</v>
      </c>
    </row>
    <row r="12" spans="1:1" x14ac:dyDescent="0.25">
      <c r="A12" s="52"/>
    </row>
    <row r="13" spans="1:1" x14ac:dyDescent="0.25">
      <c r="A13" s="53" t="s">
        <v>105</v>
      </c>
    </row>
    <row r="14" spans="1:1" s="56" customFormat="1" x14ac:dyDescent="0.25">
      <c r="A14" s="57" t="s">
        <v>289</v>
      </c>
    </row>
    <row r="15" spans="1:1" s="56" customFormat="1" x14ac:dyDescent="0.25">
      <c r="A15" s="57" t="s">
        <v>288</v>
      </c>
    </row>
    <row r="16" spans="1:1" s="56" customFormat="1" x14ac:dyDescent="0.25">
      <c r="A16" s="57" t="s">
        <v>291</v>
      </c>
    </row>
    <row r="17" spans="1:1" s="56" customFormat="1" x14ac:dyDescent="0.25">
      <c r="A17" s="57" t="s">
        <v>292</v>
      </c>
    </row>
    <row r="18" spans="1:1" s="56" customFormat="1" x14ac:dyDescent="0.25">
      <c r="A18" s="57" t="s">
        <v>293</v>
      </c>
    </row>
    <row r="19" spans="1:1" s="56" customFormat="1" x14ac:dyDescent="0.25">
      <c r="A19" s="57" t="s">
        <v>294</v>
      </c>
    </row>
    <row r="20" spans="1:1" s="56" customFormat="1" ht="46.5" customHeight="1" x14ac:dyDescent="0.25">
      <c r="A20" s="57" t="s">
        <v>290</v>
      </c>
    </row>
    <row r="21" spans="1:1" x14ac:dyDescent="0.25">
      <c r="A21" s="52"/>
    </row>
    <row r="22" spans="1:1" x14ac:dyDescent="0.25">
      <c r="A22" s="53" t="s">
        <v>106</v>
      </c>
    </row>
    <row r="23" spans="1:1" x14ac:dyDescent="0.25">
      <c r="A23" s="52" t="s">
        <v>107</v>
      </c>
    </row>
    <row r="24" spans="1:1" x14ac:dyDescent="0.25">
      <c r="A24" s="52" t="s">
        <v>111</v>
      </c>
    </row>
    <row r="25" spans="1:1" x14ac:dyDescent="0.25">
      <c r="A25" s="52" t="s">
        <v>108</v>
      </c>
    </row>
    <row r="26" spans="1:1" x14ac:dyDescent="0.25">
      <c r="A26" s="52" t="s">
        <v>109</v>
      </c>
    </row>
    <row r="27" spans="1:1" ht="33" customHeight="1" x14ac:dyDescent="0.25">
      <c r="A27" s="54" t="s">
        <v>295</v>
      </c>
    </row>
    <row r="28" spans="1:1" x14ac:dyDescent="0.25">
      <c r="A28" s="52"/>
    </row>
    <row r="29" spans="1:1" x14ac:dyDescent="0.25">
      <c r="A29" s="52" t="s">
        <v>110</v>
      </c>
    </row>
    <row r="30" spans="1:1" ht="7.5" customHeight="1" x14ac:dyDescent="0.25"/>
    <row r="31" spans="1:1" x14ac:dyDescent="0.25"/>
    <row r="32" spans="1:1"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 x14ac:dyDescent="0.25"/>
    <row r="66" spans="1:1" x14ac:dyDescent="0.25"/>
    <row r="67" spans="1:1" x14ac:dyDescent="0.25"/>
    <row r="68" spans="1:1" x14ac:dyDescent="0.25"/>
    <row r="69" spans="1:1" x14ac:dyDescent="0.25"/>
    <row r="70" spans="1:1" x14ac:dyDescent="0.25"/>
    <row r="71" spans="1:1" x14ac:dyDescent="0.25"/>
    <row r="72" spans="1:1" x14ac:dyDescent="0.25"/>
    <row r="73" spans="1:1" x14ac:dyDescent="0.25"/>
    <row r="74" spans="1:1" x14ac:dyDescent="0.25"/>
    <row r="75" spans="1:1" x14ac:dyDescent="0.25"/>
    <row r="76" spans="1:1" x14ac:dyDescent="0.25"/>
    <row r="77" spans="1:1" x14ac:dyDescent="0.25"/>
    <row r="78" spans="1:1" x14ac:dyDescent="0.25"/>
    <row r="79" spans="1:1" x14ac:dyDescent="0.25">
      <c r="A79" s="53" t="s">
        <v>113</v>
      </c>
    </row>
    <row r="80" spans="1:1" x14ac:dyDescent="0.25">
      <c r="A80" s="52" t="s">
        <v>112</v>
      </c>
    </row>
    <row r="81" spans="1:1" x14ac:dyDescent="0.25">
      <c r="A81" s="52" t="s">
        <v>118</v>
      </c>
    </row>
    <row r="82" spans="1:1" x14ac:dyDescent="0.25">
      <c r="A82" s="52"/>
    </row>
    <row r="83" spans="1:1" x14ac:dyDescent="0.25">
      <c r="A83" s="52" t="s">
        <v>114</v>
      </c>
    </row>
    <row r="84" spans="1:1" x14ac:dyDescent="0.25">
      <c r="A84" s="52" t="s">
        <v>117</v>
      </c>
    </row>
    <row r="85" spans="1:1" x14ac:dyDescent="0.25">
      <c r="A85" s="52"/>
    </row>
    <row r="86" spans="1:1" x14ac:dyDescent="0.25">
      <c r="A86" s="52" t="s">
        <v>115</v>
      </c>
    </row>
    <row r="87" spans="1:1" x14ac:dyDescent="0.25">
      <c r="A87" s="52" t="s">
        <v>116</v>
      </c>
    </row>
    <row r="88" spans="1:1" x14ac:dyDescent="0.25"/>
    <row r="89" spans="1:1" x14ac:dyDescent="0.25">
      <c r="A89" s="52" t="s">
        <v>119</v>
      </c>
    </row>
    <row r="90" spans="1:1" ht="45" customHeight="1" x14ac:dyDescent="0.25">
      <c r="A90" s="54" t="s">
        <v>121</v>
      </c>
    </row>
    <row r="91" spans="1:1" x14ac:dyDescent="0.25"/>
    <row r="92" spans="1:1" x14ac:dyDescent="0.25">
      <c r="A92" s="52" t="s">
        <v>120</v>
      </c>
    </row>
    <row r="93" spans="1:1" s="56" customFormat="1" ht="117" customHeight="1" x14ac:dyDescent="0.25">
      <c r="A93" s="55" t="s">
        <v>124</v>
      </c>
    </row>
    <row r="94" spans="1:1" x14ac:dyDescent="0.25"/>
    <row r="95" spans="1:1" x14ac:dyDescent="0.25">
      <c r="A95" s="52" t="s">
        <v>122</v>
      </c>
    </row>
    <row r="96" spans="1:1" ht="27.75" customHeight="1" x14ac:dyDescent="0.25">
      <c r="A96" s="54" t="s">
        <v>123</v>
      </c>
    </row>
    <row r="97" spans="1:1" x14ac:dyDescent="0.25"/>
    <row r="98" spans="1:1" x14ac:dyDescent="0.25">
      <c r="A98" s="54" t="s">
        <v>128</v>
      </c>
    </row>
    <row r="99" spans="1:1" ht="48" customHeight="1" x14ac:dyDescent="0.25">
      <c r="A99" s="54" t="s">
        <v>127</v>
      </c>
    </row>
    <row r="100" spans="1:1" x14ac:dyDescent="0.25"/>
    <row r="101" spans="1:1" hidden="1" x14ac:dyDescent="0.25"/>
    <row r="102" spans="1:1" hidden="1" x14ac:dyDescent="0.25"/>
    <row r="103" spans="1:1" hidden="1" x14ac:dyDescent="0.25"/>
    <row r="104" spans="1:1" hidden="1" x14ac:dyDescent="0.25"/>
    <row r="105" spans="1:1" hidden="1" x14ac:dyDescent="0.25"/>
    <row r="106" spans="1:1" hidden="1" x14ac:dyDescent="0.25"/>
    <row r="107" spans="1:1" hidden="1" x14ac:dyDescent="0.25"/>
    <row r="108" spans="1:1" hidden="1" x14ac:dyDescent="0.25"/>
    <row r="109" spans="1:1" hidden="1" x14ac:dyDescent="0.25"/>
    <row r="110" spans="1:1" hidden="1" x14ac:dyDescent="0.25"/>
    <row r="111" spans="1:1" hidden="1" x14ac:dyDescent="0.25"/>
    <row r="112" spans="1:1" hidden="1" x14ac:dyDescent="0.25"/>
  </sheetData>
  <sheetProtection password="E5E0"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showGridLines="0" tabSelected="1" zoomScale="95" zoomScaleNormal="95" workbookViewId="0">
      <selection activeCell="D7" sqref="D7:F7"/>
    </sheetView>
  </sheetViews>
  <sheetFormatPr defaultColWidth="0" defaultRowHeight="15" zeroHeight="1" x14ac:dyDescent="0.25"/>
  <cols>
    <col min="1" max="1" width="2.85546875" customWidth="1"/>
    <col min="2" max="2" width="22.5703125" bestFit="1" customWidth="1"/>
    <col min="3" max="3" width="12.140625" bestFit="1" customWidth="1"/>
    <col min="4" max="4" width="15.140625" customWidth="1"/>
    <col min="5" max="5" width="3.42578125" bestFit="1" customWidth="1"/>
    <col min="6" max="6" width="15" customWidth="1"/>
    <col min="7" max="7" width="2.85546875" customWidth="1"/>
    <col min="8" max="14" width="19.28515625" customWidth="1"/>
    <col min="15" max="15" width="2.85546875" customWidth="1"/>
    <col min="16" max="19" width="0" hidden="1" customWidth="1"/>
    <col min="20" max="16384" width="9.140625" hidden="1"/>
  </cols>
  <sheetData>
    <row r="1" spans="2:14" ht="7.5" customHeight="1" x14ac:dyDescent="0.25"/>
    <row r="2" spans="2:14" x14ac:dyDescent="0.25"/>
    <row r="3" spans="2:14" ht="15.75" thickBot="1" x14ac:dyDescent="0.3">
      <c r="H3" s="58" t="s">
        <v>131</v>
      </c>
    </row>
    <row r="4" spans="2:14" x14ac:dyDescent="0.25">
      <c r="H4" s="131" t="s">
        <v>141</v>
      </c>
      <c r="I4" s="129" t="s">
        <v>9</v>
      </c>
      <c r="J4" s="129" t="s">
        <v>10</v>
      </c>
      <c r="K4" s="124" t="s">
        <v>91</v>
      </c>
      <c r="L4" s="124"/>
      <c r="M4" s="124" t="s">
        <v>92</v>
      </c>
      <c r="N4" s="128"/>
    </row>
    <row r="5" spans="2:14" x14ac:dyDescent="0.25">
      <c r="H5" s="132"/>
      <c r="I5" s="130"/>
      <c r="J5" s="130"/>
      <c r="K5" s="17" t="s">
        <v>0</v>
      </c>
      <c r="L5" s="17" t="s">
        <v>13</v>
      </c>
      <c r="M5" s="17" t="s">
        <v>0</v>
      </c>
      <c r="N5" s="18" t="s">
        <v>142</v>
      </c>
    </row>
    <row r="6" spans="2:14" ht="15.75" thickBot="1" x14ac:dyDescent="0.3">
      <c r="B6" s="58" t="s">
        <v>129</v>
      </c>
      <c r="H6" s="28"/>
      <c r="I6" s="29"/>
      <c r="J6" s="30"/>
      <c r="K6" s="31"/>
      <c r="L6" s="31"/>
      <c r="M6" s="31"/>
      <c r="N6" s="60" t="str">
        <f t="shared" ref="N6:N15" si="0">IFERROR(ROUND($L6*VLOOKUP($M6,BulbInfo,3,FALSE)/VLOOKUP($K6,BulbInfo,3,FALSE),0),"(Auto calculated)")</f>
        <v>(Auto calculated)</v>
      </c>
    </row>
    <row r="7" spans="2:14" x14ac:dyDescent="0.25">
      <c r="B7" s="117" t="s">
        <v>80</v>
      </c>
      <c r="C7" s="123"/>
      <c r="D7" s="120"/>
      <c r="E7" s="121"/>
      <c r="F7" s="122"/>
      <c r="H7" s="32"/>
      <c r="I7" s="33"/>
      <c r="J7" s="34"/>
      <c r="K7" s="33"/>
      <c r="L7" s="33"/>
      <c r="M7" s="61"/>
      <c r="N7" s="16" t="str">
        <f t="shared" si="0"/>
        <v>(Auto calculated)</v>
      </c>
    </row>
    <row r="8" spans="2:14" ht="15.75" thickBot="1" x14ac:dyDescent="0.3">
      <c r="B8" s="133" t="s">
        <v>81</v>
      </c>
      <c r="C8" s="134"/>
      <c r="D8" s="125"/>
      <c r="E8" s="126"/>
      <c r="F8" s="127"/>
      <c r="H8" s="35"/>
      <c r="I8" s="31"/>
      <c r="J8" s="36"/>
      <c r="K8" s="31"/>
      <c r="L8" s="31"/>
      <c r="M8" s="31"/>
      <c r="N8" s="62" t="str">
        <f t="shared" si="0"/>
        <v>(Auto calculated)</v>
      </c>
    </row>
    <row r="9" spans="2:14" x14ac:dyDescent="0.25">
      <c r="H9" s="32"/>
      <c r="I9" s="33"/>
      <c r="J9" s="34"/>
      <c r="K9" s="33"/>
      <c r="L9" s="33"/>
      <c r="M9" s="33"/>
      <c r="N9" s="63" t="str">
        <f t="shared" si="0"/>
        <v>(Auto calculated)</v>
      </c>
    </row>
    <row r="10" spans="2:14" ht="15.75" thickBot="1" x14ac:dyDescent="0.3">
      <c r="B10" s="58" t="s">
        <v>130</v>
      </c>
      <c r="D10" s="46" t="s">
        <v>126</v>
      </c>
      <c r="E10" s="47" t="s">
        <v>93</v>
      </c>
      <c r="F10" s="46" t="s">
        <v>94</v>
      </c>
      <c r="H10" s="35"/>
      <c r="I10" s="31"/>
      <c r="J10" s="36"/>
      <c r="K10" s="31"/>
      <c r="L10" s="31"/>
      <c r="M10" s="31"/>
      <c r="N10" s="62" t="str">
        <f t="shared" si="0"/>
        <v>(Auto calculated)</v>
      </c>
    </row>
    <row r="11" spans="2:14" x14ac:dyDescent="0.25">
      <c r="B11" s="41" t="s">
        <v>125</v>
      </c>
      <c r="C11" s="42" t="s">
        <v>139</v>
      </c>
      <c r="D11" s="43" t="str">
        <f>IFERROR(VLOOKUP(InputProvince,GridData,3,FALSE),"")</f>
        <v/>
      </c>
      <c r="E11" s="44"/>
      <c r="F11" s="50"/>
      <c r="H11" s="32"/>
      <c r="I11" s="33"/>
      <c r="J11" s="34"/>
      <c r="K11" s="33"/>
      <c r="L11" s="33"/>
      <c r="M11" s="33"/>
      <c r="N11" s="63" t="str">
        <f t="shared" si="0"/>
        <v>(Auto calculated)</v>
      </c>
    </row>
    <row r="12" spans="2:14" ht="15.75" thickBot="1" x14ac:dyDescent="0.3">
      <c r="B12" s="19" t="s">
        <v>84</v>
      </c>
      <c r="C12" s="14" t="s">
        <v>85</v>
      </c>
      <c r="D12" s="15" t="str">
        <f>IFERROR(VLOOKUP(InputProvince,GridData,2,FALSE),"")</f>
        <v/>
      </c>
      <c r="E12" s="45"/>
      <c r="F12" s="51"/>
      <c r="H12" s="35"/>
      <c r="I12" s="31"/>
      <c r="J12" s="36"/>
      <c r="K12" s="31"/>
      <c r="L12" s="31"/>
      <c r="M12" s="31"/>
      <c r="N12" s="62" t="str">
        <f t="shared" si="0"/>
        <v>(Auto calculated)</v>
      </c>
    </row>
    <row r="13" spans="2:14" ht="15.75" thickBot="1" x14ac:dyDescent="0.3">
      <c r="B13" s="58" t="s">
        <v>134</v>
      </c>
      <c r="H13" s="32"/>
      <c r="I13" s="33"/>
      <c r="J13" s="34"/>
      <c r="K13" s="33"/>
      <c r="L13" s="33"/>
      <c r="M13" s="33"/>
      <c r="N13" s="63" t="str">
        <f t="shared" si="0"/>
        <v>(Auto calculated)</v>
      </c>
    </row>
    <row r="14" spans="2:14" x14ac:dyDescent="0.25">
      <c r="B14" s="41" t="s">
        <v>132</v>
      </c>
      <c r="C14" s="42" t="s">
        <v>133</v>
      </c>
      <c r="D14" s="67" t="str">
        <f>IFERROR(VLOOKUP(InputCountry,CurrencyConversion,2,FALSE),"")</f>
        <v/>
      </c>
      <c r="F14" s="68"/>
      <c r="H14" s="35"/>
      <c r="I14" s="31"/>
      <c r="J14" s="36"/>
      <c r="K14" s="31"/>
      <c r="L14" s="31"/>
      <c r="M14" s="31"/>
      <c r="N14" s="62" t="str">
        <f t="shared" si="0"/>
        <v>(Auto calculated)</v>
      </c>
    </row>
    <row r="15" spans="2:14" ht="15.75" thickBot="1" x14ac:dyDescent="0.3">
      <c r="B15" s="19" t="s">
        <v>144</v>
      </c>
      <c r="C15" s="14" t="s">
        <v>143</v>
      </c>
      <c r="D15" s="85" t="str">
        <f>IFERROR(VLOOKUP(InputCountry,CurrencyConversion,3,FALSE),"")</f>
        <v/>
      </c>
      <c r="F15" s="107"/>
      <c r="H15" s="37"/>
      <c r="I15" s="38"/>
      <c r="J15" s="39"/>
      <c r="K15" s="38"/>
      <c r="L15" s="38"/>
      <c r="M15" s="38"/>
      <c r="N15" s="64" t="str">
        <f t="shared" si="0"/>
        <v>(Auto calculated)</v>
      </c>
    </row>
    <row r="16" spans="2:14" x14ac:dyDescent="0.25"/>
    <row r="17" spans="2:6" ht="15.75" thickBot="1" x14ac:dyDescent="0.3">
      <c r="B17" s="58" t="s">
        <v>237</v>
      </c>
      <c r="D17" s="46" t="s">
        <v>236</v>
      </c>
      <c r="E17" s="47" t="s">
        <v>93</v>
      </c>
      <c r="F17" s="46" t="s">
        <v>94</v>
      </c>
    </row>
    <row r="18" spans="2:6" x14ac:dyDescent="0.25">
      <c r="B18" s="41" t="s">
        <v>1</v>
      </c>
      <c r="C18" s="42" t="s">
        <v>238</v>
      </c>
      <c r="D18" s="86">
        <f>AVERAGE(VLOOKUP($B18,BulbInfo,6,FALSE),VLOOKUP($B18,BulbInfo,7,FALSE))</f>
        <v>3</v>
      </c>
      <c r="F18" s="103"/>
    </row>
    <row r="19" spans="2:6" x14ac:dyDescent="0.25">
      <c r="B19" s="76" t="s">
        <v>2</v>
      </c>
      <c r="C19" s="75" t="s">
        <v>238</v>
      </c>
      <c r="D19" s="87">
        <f>AVERAGE(VLOOKUP($B19,BulbInfo,6,FALSE),VLOOKUP($B19,BulbInfo,7,FALSE))</f>
        <v>4.125</v>
      </c>
      <c r="F19" s="104"/>
    </row>
    <row r="20" spans="2:6" x14ac:dyDescent="0.25">
      <c r="B20" s="76" t="s">
        <v>3</v>
      </c>
      <c r="C20" s="75" t="s">
        <v>238</v>
      </c>
      <c r="D20" s="88">
        <f>AVERAGE(VLOOKUP($B20,BulbInfo,6,FALSE),VLOOKUP($B20,BulbInfo,7,FALSE))</f>
        <v>5.2249999999999996</v>
      </c>
      <c r="F20" s="105"/>
    </row>
    <row r="21" spans="2:6" x14ac:dyDescent="0.25">
      <c r="B21" s="76" t="s">
        <v>4</v>
      </c>
      <c r="C21" s="75" t="s">
        <v>238</v>
      </c>
      <c r="D21" s="87">
        <f>AVERAGE(VLOOKUP($B21,BulbInfo,6,FALSE),VLOOKUP($B21,BulbInfo,7,FALSE))</f>
        <v>6.25</v>
      </c>
      <c r="F21" s="106"/>
    </row>
    <row r="22" spans="2:6" x14ac:dyDescent="0.25">
      <c r="B22" s="77" t="s">
        <v>242</v>
      </c>
      <c r="C22" s="74" t="s">
        <v>241</v>
      </c>
      <c r="D22" s="89">
        <v>20</v>
      </c>
      <c r="F22" s="105"/>
    </row>
    <row r="23" spans="2:6" ht="15.75" thickBot="1" x14ac:dyDescent="0.3">
      <c r="B23" s="19" t="s">
        <v>243</v>
      </c>
      <c r="C23" s="14" t="s">
        <v>244</v>
      </c>
      <c r="D23" s="90">
        <v>6</v>
      </c>
      <c r="F23" s="107"/>
    </row>
    <row r="24" spans="2:6" ht="15.75" thickBot="1" x14ac:dyDescent="0.3">
      <c r="B24" s="58" t="s">
        <v>245</v>
      </c>
    </row>
    <row r="25" spans="2:6" x14ac:dyDescent="0.25">
      <c r="B25" s="41" t="s">
        <v>1</v>
      </c>
      <c r="C25" s="42" t="s">
        <v>246</v>
      </c>
      <c r="D25" s="91">
        <f>AVERAGE(VLOOKUP($B25,BulbInfo,4,FALSE),VLOOKUP($B25,BulbInfo,5,FALSE))</f>
        <v>1375</v>
      </c>
      <c r="F25" s="99"/>
    </row>
    <row r="26" spans="2:6" x14ac:dyDescent="0.25">
      <c r="B26" s="76" t="s">
        <v>2</v>
      </c>
      <c r="C26" s="75" t="s">
        <v>246</v>
      </c>
      <c r="D26" s="92">
        <f>AVERAGE(VLOOKUP($B26,BulbInfo,4,FALSE),VLOOKUP($B26,BulbInfo,5,FALSE))</f>
        <v>3000</v>
      </c>
      <c r="F26" s="100"/>
    </row>
    <row r="27" spans="2:6" x14ac:dyDescent="0.25">
      <c r="B27" s="76" t="s">
        <v>3</v>
      </c>
      <c r="C27" s="75" t="s">
        <v>246</v>
      </c>
      <c r="D27" s="93">
        <f>AVERAGE(VLOOKUP($B27,BulbInfo,4,FALSE),VLOOKUP($B27,BulbInfo,5,FALSE))</f>
        <v>30000</v>
      </c>
      <c r="F27" s="101"/>
    </row>
    <row r="28" spans="2:6" ht="15.75" thickBot="1" x14ac:dyDescent="0.3">
      <c r="B28" s="19" t="s">
        <v>4</v>
      </c>
      <c r="C28" s="14" t="s">
        <v>246</v>
      </c>
      <c r="D28" s="94">
        <f>AVERAGE(VLOOKUP($B28,BulbInfo,4,FALSE),VLOOKUP($B28,BulbInfo,5,FALSE))</f>
        <v>45000</v>
      </c>
      <c r="F28" s="102"/>
    </row>
    <row r="29" spans="2:6" x14ac:dyDescent="0.25"/>
    <row r="30" spans="2:6" ht="15.75" thickBot="1" x14ac:dyDescent="0.3">
      <c r="B30" s="98" t="s">
        <v>300</v>
      </c>
      <c r="C30" s="66"/>
      <c r="D30" s="66"/>
      <c r="E30" s="66"/>
      <c r="F30" s="66"/>
    </row>
    <row r="31" spans="2:6" x14ac:dyDescent="0.25">
      <c r="B31" s="117" t="s">
        <v>282</v>
      </c>
      <c r="C31" s="118"/>
      <c r="D31" s="118"/>
      <c r="E31" s="118"/>
      <c r="F31" s="119"/>
    </row>
    <row r="32" spans="2:6" x14ac:dyDescent="0.25">
      <c r="B32" s="149" t="s">
        <v>272</v>
      </c>
      <c r="C32" s="152"/>
      <c r="D32" s="155" t="s">
        <v>286</v>
      </c>
      <c r="E32" s="110">
        <f>Calculations!K28-Calculations!K29</f>
        <v>0</v>
      </c>
      <c r="F32" s="111"/>
    </row>
    <row r="33" spans="2:6" x14ac:dyDescent="0.25">
      <c r="B33" s="149" t="s">
        <v>283</v>
      </c>
      <c r="C33" s="152"/>
      <c r="D33" s="157" t="s">
        <v>287</v>
      </c>
      <c r="E33" s="108">
        <f>IFERROR(E32/Calculations!K28*100,0)</f>
        <v>0</v>
      </c>
      <c r="F33" s="109"/>
    </row>
    <row r="34" spans="2:6" x14ac:dyDescent="0.25">
      <c r="B34" s="114" t="s">
        <v>301</v>
      </c>
      <c r="C34" s="115"/>
      <c r="D34" s="115"/>
      <c r="E34" s="115"/>
      <c r="F34" s="116"/>
    </row>
    <row r="35" spans="2:6" x14ac:dyDescent="0.25">
      <c r="B35" s="149" t="s">
        <v>279</v>
      </c>
      <c r="C35" s="152"/>
      <c r="D35" s="155" t="str">
        <f>IF(ISBLANK(SelfDefinedCurrencySymbol),CurrencySymbol,SelfDefinedCurrencySymbol)&amp;"/year"</f>
        <v>/year</v>
      </c>
      <c r="E35" s="110">
        <f>Calculations!F32-Calculations!F33</f>
        <v>0</v>
      </c>
      <c r="F35" s="111"/>
    </row>
    <row r="36" spans="2:6" x14ac:dyDescent="0.25">
      <c r="B36" s="149" t="s">
        <v>240</v>
      </c>
      <c r="C36" s="152"/>
      <c r="D36" s="157" t="str">
        <f>IF(ISBLANK(SelfDefinedCurrencySymbol),CurrencySymbol,SelfDefinedCurrencySymbol)&amp;"/year"</f>
        <v>/year</v>
      </c>
      <c r="E36" s="108">
        <f>Calculations!G32-Calculations!G33</f>
        <v>0</v>
      </c>
      <c r="F36" s="109"/>
    </row>
    <row r="37" spans="2:6" x14ac:dyDescent="0.25">
      <c r="B37" s="149" t="s">
        <v>285</v>
      </c>
      <c r="C37" s="152"/>
      <c r="D37" s="158" t="str">
        <f>IF(ISBLANK(SelfDefinedCurrencySymbol),CurrencySymbol,SelfDefinedCurrencySymbol)&amp;"/year"</f>
        <v>/year</v>
      </c>
      <c r="E37" s="141">
        <f>SUM(E34:F36)</f>
        <v>0</v>
      </c>
      <c r="F37" s="142"/>
    </row>
    <row r="38" spans="2:6" x14ac:dyDescent="0.25">
      <c r="B38" s="114" t="s">
        <v>299</v>
      </c>
      <c r="C38" s="115"/>
      <c r="D38" s="115"/>
      <c r="E38" s="115"/>
      <c r="F38" s="116"/>
    </row>
    <row r="39" spans="2:6" x14ac:dyDescent="0.25">
      <c r="B39" s="149" t="s">
        <v>279</v>
      </c>
      <c r="C39" s="152"/>
      <c r="D39" s="155" t="str">
        <f>IF(ISBLANK(SelfDefinedCurrencySymbol),CurrencySymbol,SelfDefinedCurrencySymbol)&amp;"/year"</f>
        <v>/year</v>
      </c>
      <c r="E39" s="110">
        <f>Calculations!M28-Calculations!M29</f>
        <v>0</v>
      </c>
      <c r="F39" s="111"/>
    </row>
    <row r="40" spans="2:6" x14ac:dyDescent="0.25">
      <c r="B40" s="149" t="s">
        <v>240</v>
      </c>
      <c r="C40" s="152"/>
      <c r="D40" s="157" t="str">
        <f>IF(ISBLANK(SelfDefinedCurrencySymbol),CurrencySymbol,SelfDefinedCurrencySymbol)&amp;"/year"</f>
        <v>/year</v>
      </c>
      <c r="E40" s="108">
        <f>Calculations!N28-Calculations!N29</f>
        <v>0</v>
      </c>
      <c r="F40" s="109"/>
    </row>
    <row r="41" spans="2:6" x14ac:dyDescent="0.25">
      <c r="B41" s="149" t="s">
        <v>280</v>
      </c>
      <c r="C41" s="152"/>
      <c r="D41" s="155" t="str">
        <f>IF(ISBLANK(SelfDefinedCurrencySymbol),CurrencySymbol,SelfDefinedCurrencySymbol)&amp;"/year"</f>
        <v>/year</v>
      </c>
      <c r="E41" s="110">
        <f>Calculations!O28-Calculations!O29</f>
        <v>0</v>
      </c>
      <c r="F41" s="111"/>
    </row>
    <row r="42" spans="2:6" x14ac:dyDescent="0.25">
      <c r="B42" s="149" t="s">
        <v>285</v>
      </c>
      <c r="C42" s="152"/>
      <c r="D42" s="157" t="str">
        <f>IF(ISBLANK(SelfDefinedCurrencySymbol),CurrencySymbol,SelfDefinedCurrencySymbol)&amp;"/year"</f>
        <v>/year</v>
      </c>
      <c r="E42" s="108">
        <f>SUM(E39:F41)</f>
        <v>0</v>
      </c>
      <c r="F42" s="109"/>
    </row>
    <row r="43" spans="2:6" x14ac:dyDescent="0.25">
      <c r="B43" s="114" t="s">
        <v>302</v>
      </c>
      <c r="C43" s="115"/>
      <c r="D43" s="115"/>
      <c r="E43" s="115"/>
      <c r="F43" s="116"/>
    </row>
    <row r="44" spans="2:6" x14ac:dyDescent="0.25">
      <c r="B44" s="150" t="s">
        <v>303</v>
      </c>
      <c r="C44" s="153"/>
      <c r="D44" s="155" t="s">
        <v>304</v>
      </c>
      <c r="E44" s="143" t="str">
        <f>IFERROR(_xlfn.FLOOR.MATH(-E37/E42,1),"")</f>
        <v/>
      </c>
      <c r="F44" s="144"/>
    </row>
    <row r="45" spans="2:6" x14ac:dyDescent="0.25">
      <c r="B45" s="150"/>
      <c r="C45" s="153"/>
      <c r="D45" s="157" t="s">
        <v>305</v>
      </c>
      <c r="E45" s="145" t="str">
        <f>IFERROR(_xlfn.FLOOR.MATH(-E37/E42*12-E44,1),"")</f>
        <v/>
      </c>
      <c r="F45" s="146"/>
    </row>
    <row r="46" spans="2:6" x14ac:dyDescent="0.25">
      <c r="B46" s="150"/>
      <c r="C46" s="153"/>
      <c r="D46" s="155" t="s">
        <v>306</v>
      </c>
      <c r="E46" s="147" t="str">
        <f>IFERROR(_xlfn.FLOOR.MATH(-E37/E42*365-E45*365/12,1),"")</f>
        <v/>
      </c>
      <c r="F46" s="148"/>
    </row>
    <row r="47" spans="2:6" x14ac:dyDescent="0.25">
      <c r="B47" s="114" t="s">
        <v>281</v>
      </c>
      <c r="C47" s="115"/>
      <c r="D47" s="115"/>
      <c r="E47" s="115"/>
      <c r="F47" s="116"/>
    </row>
    <row r="48" spans="2:6" x14ac:dyDescent="0.25">
      <c r="B48" s="149" t="s">
        <v>272</v>
      </c>
      <c r="C48" s="152"/>
      <c r="D48" s="155" t="s">
        <v>307</v>
      </c>
      <c r="E48" s="110">
        <f>Calculations!Q28-Calculations!Q29</f>
        <v>0</v>
      </c>
      <c r="F48" s="111"/>
    </row>
    <row r="49" spans="2:6" ht="15.75" thickBot="1" x14ac:dyDescent="0.3">
      <c r="B49" s="151" t="s">
        <v>283</v>
      </c>
      <c r="C49" s="154"/>
      <c r="D49" s="156" t="s">
        <v>287</v>
      </c>
      <c r="E49" s="112">
        <f>IFERROR(E48/Calculations!Q28*100,0)</f>
        <v>0</v>
      </c>
      <c r="F49" s="113"/>
    </row>
    <row r="50" spans="2:6" x14ac:dyDescent="0.25"/>
  </sheetData>
  <sheetProtection password="E5E0" sheet="1" objects="1" scenarios="1" selectLockedCells="1"/>
  <mergeCells count="40">
    <mergeCell ref="E46:F46"/>
    <mergeCell ref="E45:F45"/>
    <mergeCell ref="E44:F44"/>
    <mergeCell ref="B44:C46"/>
    <mergeCell ref="K4:L4"/>
    <mergeCell ref="D8:F8"/>
    <mergeCell ref="M4:N4"/>
    <mergeCell ref="J4:J5"/>
    <mergeCell ref="I4:I5"/>
    <mergeCell ref="H4:H5"/>
    <mergeCell ref="B31:F31"/>
    <mergeCell ref="B32:C32"/>
    <mergeCell ref="B33:C33"/>
    <mergeCell ref="B39:C39"/>
    <mergeCell ref="D7:F7"/>
    <mergeCell ref="B7:C7"/>
    <mergeCell ref="B8:C8"/>
    <mergeCell ref="B34:F34"/>
    <mergeCell ref="B35:C35"/>
    <mergeCell ref="E35:F35"/>
    <mergeCell ref="B36:C36"/>
    <mergeCell ref="E36:F36"/>
    <mergeCell ref="B37:C37"/>
    <mergeCell ref="E37:F37"/>
    <mergeCell ref="B49:C49"/>
    <mergeCell ref="E33:F33"/>
    <mergeCell ref="E32:F32"/>
    <mergeCell ref="E49:F49"/>
    <mergeCell ref="E48:F48"/>
    <mergeCell ref="E42:F42"/>
    <mergeCell ref="E41:F41"/>
    <mergeCell ref="E40:F40"/>
    <mergeCell ref="E39:F39"/>
    <mergeCell ref="B38:F38"/>
    <mergeCell ref="B47:F47"/>
    <mergeCell ref="B40:C40"/>
    <mergeCell ref="B41:C41"/>
    <mergeCell ref="B42:C42"/>
    <mergeCell ref="B48:C48"/>
    <mergeCell ref="B43:F43"/>
  </mergeCells>
  <dataValidations count="17">
    <dataValidation type="list" allowBlank="1" showInputMessage="1" showErrorMessage="1" errorTitle="Invalid entry" error="Select bulb type from drop-down list" sqref="K6:K15">
      <formula1>IF(L6="",BulbType,INDIRECT("FakeList"))</formula1>
    </dataValidation>
    <dataValidation type="list" allowBlank="1" showInputMessage="1" showErrorMessage="1" errorTitle="Invalid entry" error="Select wattage from drop-down list, after entering a valid bulb type" sqref="L6:L15">
      <formula1>INDIRECT(K6)</formula1>
    </dataValidation>
    <dataValidation type="decimal" allowBlank="1" showErrorMessage="1" errorTitle="Invalid entry" error="Enter a number between 0 and 100" sqref="J6:J15">
      <formula1>0</formula1>
      <formula2>1</formula2>
    </dataValidation>
    <dataValidation type="whole" operator="greaterThan" allowBlank="1" showErrorMessage="1" errorTitle="Invalid entry" error="Enter a whole number greater than 0" sqref="I6:I15">
      <formula1>0</formula1>
    </dataValidation>
    <dataValidation type="list" allowBlank="1" showInputMessage="1" showErrorMessage="1" sqref="M6:M15">
      <formula1>BulbType</formula1>
    </dataValidation>
    <dataValidation type="list" allowBlank="1" showInputMessage="1" showErrorMessage="1" errorTitle="Invalid entry" error="Select country from drop-down list" sqref="D7">
      <formula1>IF(D8="",Country,INDIRECT("FakeList"))</formula1>
    </dataValidation>
    <dataValidation type="list" allowBlank="1" showErrorMessage="1" errorTitle="Invalid entry" error="Select province/state from drop-down list, after entering a valid country" sqref="D8">
      <formula1>INDIRECT($D$7)</formula1>
    </dataValidation>
    <dataValidation type="decimal" errorStyle="warning" allowBlank="1" showErrorMessage="1" errorTitle="Double check your units" error="Residential electricity prices are typically between $0 and $1/kWh" sqref="F11">
      <formula1>0</formula1>
      <formula2>1</formula2>
    </dataValidation>
    <dataValidation type="decimal" errorStyle="warning" allowBlank="1" showInputMessage="1" showErrorMessage="1" errorTitle="Double check your units" error="Grid emissions factors are typically between 0 and 1 kgCO2e/kWh" sqref="F12">
      <formula1>0</formula1>
      <formula2>1</formula2>
    </dataValidation>
    <dataValidation type="decimal" operator="greaterThan" allowBlank="1" showErrorMessage="1" errorTitle="Invalid entry" error="Currency multiplier must be a positive value" sqref="F14">
      <formula1>0</formula1>
    </dataValidation>
    <dataValidation type="list" allowBlank="1" showInputMessage="1" showErrorMessage="1" errorTitle="Invalid entry" error="Select a currency symbol from the drop-down list" promptTitle="Important Note" prompt="Entering a localized currency symbol will not convert the costs from canadian dollars to the chosen currency. To do so, enter a conversion value in the row above." sqref="F15">
      <formula1>CurrencySymbolList</formula1>
    </dataValidation>
    <dataValidation type="decimal" errorStyle="warning" allowBlank="1" showInputMessage="1" showErrorMessage="1" errorTitle="Check your input" error="Light bulbs typically cost between $2 and $10 per bulb" sqref="F18:F21">
      <formula1>2.5</formula1>
      <formula2>3.5</formula2>
    </dataValidation>
    <dataValidation type="decimal" operator="greaterThanOrEqual" allowBlank="1" showInputMessage="1" showErrorMessage="1" errorTitle="Invalid entry" error="Labourer wage and efficiency must be non-negative (i.e. greater than or equal to zero)" sqref="F22:F23">
      <formula1>0</formula1>
    </dataValidation>
    <dataValidation type="whole" errorStyle="warning" allowBlank="1" showInputMessage="1" showErrorMessage="1" errorTitle="Check your input" error="Incandescent bulbs typically last between 750 and 2,000 hours before needing to be replaced" sqref="F25">
      <formula1>750</formula1>
      <formula2>2000</formula2>
    </dataValidation>
    <dataValidation type="whole" errorStyle="warning" allowBlank="1" showInputMessage="1" showErrorMessage="1" errorTitle="Check your input" error="Halogen bulbs typically last between 2,000 and 4,000 hours before needing to be replaced" sqref="F26">
      <formula1>2000</formula1>
      <formula2>4000</formula2>
    </dataValidation>
    <dataValidation type="whole" errorStyle="warning" allowBlank="1" showInputMessage="1" showErrorMessage="1" errorTitle="Check  your input" error="Fluorescent bulbs typically last between 24,000 and 36,000 hours before needing to be replaced" sqref="F27">
      <formula1>24000</formula1>
      <formula2>36000</formula2>
    </dataValidation>
    <dataValidation type="whole" errorStyle="warning" allowBlank="1" showInputMessage="1" showErrorMessage="1" errorTitle="Check your input" error="LED lights typically last between 40,000 and 50,000 hours before needing to be replaced" sqref="F28">
      <formula1>40000</formula1>
      <formula2>50000</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topLeftCell="R11" workbookViewId="0">
      <selection activeCell="R11" sqref="R11"/>
    </sheetView>
  </sheetViews>
  <sheetFormatPr defaultRowHeight="15" x14ac:dyDescent="0.25"/>
  <cols>
    <col min="1" max="1" width="24.140625" style="21" hidden="1" customWidth="1"/>
    <col min="2" max="2" width="7.7109375" style="21" hidden="1" customWidth="1"/>
    <col min="3" max="3" width="12.5703125" style="21" hidden="1" customWidth="1"/>
    <col min="4" max="4" width="9.140625" style="21" hidden="1" customWidth="1"/>
    <col min="5" max="5" width="21.7109375" style="21" hidden="1" customWidth="1"/>
    <col min="6" max="6" width="12.7109375" style="21" hidden="1" customWidth="1"/>
    <col min="7" max="7" width="12.85546875" style="21" hidden="1" customWidth="1"/>
    <col min="8" max="9" width="16" style="21" hidden="1" customWidth="1"/>
    <col min="10" max="10" width="13.7109375" style="21" hidden="1" customWidth="1"/>
    <col min="11" max="11" width="33.28515625" style="21" hidden="1" customWidth="1"/>
    <col min="12" max="12" width="31.28515625" style="21" hidden="1" customWidth="1"/>
    <col min="13" max="13" width="17" style="21" hidden="1" customWidth="1"/>
    <col min="14" max="14" width="19.140625" style="21" hidden="1" customWidth="1"/>
    <col min="15" max="15" width="22" style="21" hidden="1" customWidth="1"/>
    <col min="16" max="16" width="17.5703125" style="21" hidden="1" customWidth="1"/>
    <col min="17" max="17" width="23.42578125" style="21" hidden="1" customWidth="1"/>
    <col min="18" max="16384" width="9.140625" style="21"/>
  </cols>
  <sheetData>
    <row r="1" spans="1:17" x14ac:dyDescent="0.25">
      <c r="A1" s="26" t="s">
        <v>247</v>
      </c>
      <c r="E1" s="20" t="s">
        <v>11</v>
      </c>
      <c r="F1" s="20"/>
      <c r="G1" s="20"/>
      <c r="H1" s="20"/>
      <c r="I1" s="20"/>
      <c r="J1" s="20"/>
      <c r="K1" s="20"/>
      <c r="L1" s="20"/>
      <c r="M1" s="20"/>
      <c r="N1" s="20"/>
    </row>
    <row r="2" spans="1:17" x14ac:dyDescent="0.25">
      <c r="A2" s="78" t="s">
        <v>134</v>
      </c>
      <c r="E2" s="22" t="s">
        <v>14</v>
      </c>
      <c r="F2" s="22" t="s">
        <v>0</v>
      </c>
      <c r="G2" s="22" t="s">
        <v>13</v>
      </c>
      <c r="H2" s="22" t="s">
        <v>9</v>
      </c>
      <c r="I2" s="22" t="s">
        <v>298</v>
      </c>
      <c r="J2" s="22" t="s">
        <v>264</v>
      </c>
      <c r="K2" s="22" t="s">
        <v>284</v>
      </c>
      <c r="L2" s="22" t="s">
        <v>263</v>
      </c>
      <c r="M2" s="22" t="s">
        <v>265</v>
      </c>
      <c r="N2" s="22" t="s">
        <v>266</v>
      </c>
      <c r="O2" s="22" t="s">
        <v>86</v>
      </c>
      <c r="P2" s="22" t="s">
        <v>89</v>
      </c>
      <c r="Q2" s="22" t="s">
        <v>87</v>
      </c>
    </row>
    <row r="3" spans="1:17" x14ac:dyDescent="0.25">
      <c r="A3" s="21" t="s">
        <v>140</v>
      </c>
      <c r="B3" s="21" t="str">
        <f>IF(ISBLANK(SelfDefinedCurrencyMultiplier),CurrencyMultiplier,SelfDefinedCurrencyMultiplier)</f>
        <v/>
      </c>
      <c r="E3" s="21" t="str">
        <f>IF(ISBLANK(Dashboard!H6),"",Dashboard!H6)</f>
        <v/>
      </c>
      <c r="F3" s="21" t="str">
        <f>IF(ISBLANK(Dashboard!K6),"",Dashboard!K6)</f>
        <v/>
      </c>
      <c r="G3" s="21" t="str">
        <f>IF(ISBLANK(Dashboard!L6),"",Dashboard!L6)</f>
        <v/>
      </c>
      <c r="H3" s="21" t="str">
        <f>IF(ISBLANK(Dashboard!I6),"",Dashboard!I6)</f>
        <v/>
      </c>
      <c r="I3" s="79" t="str">
        <f>IF(F3&lt;&gt;"",VLOOKUP(F3&amp;"*",$A$10:$C$13,2,FALSE)*$B$3,"")</f>
        <v/>
      </c>
      <c r="J3" s="79" t="str">
        <f>IF(ISBLANK(Dashboard!J6),"",8760*Dashboard!J6)</f>
        <v/>
      </c>
      <c r="K3" s="95" t="str">
        <f>IFERROR(G3*H3*J3/1000,"")</f>
        <v/>
      </c>
      <c r="L3" s="71" t="str">
        <f>IFERROR(H3*J3/VLOOKUP(F3&amp;"*",$A$6:$C$9,2,FALSE),"")</f>
        <v/>
      </c>
      <c r="M3" s="81" t="str">
        <f>IFERROR(L3*I3*$B$3,"")</f>
        <v/>
      </c>
      <c r="N3" s="81" t="str">
        <f>IFERROR(L3*$B$15/$B$16*$B$3,"")</f>
        <v/>
      </c>
      <c r="O3" s="83" t="str">
        <f>IFERROR(G3*H3*J3*$B$18/1000*$B$3,"")</f>
        <v/>
      </c>
      <c r="P3" s="71" t="str">
        <f>IF(SUM(M3:O3)=0,"",SUM(M3:O3))</f>
        <v/>
      </c>
      <c r="Q3" s="23" t="str">
        <f>IFERROR(G3*H3*J3*$B$19/1000,"")</f>
        <v/>
      </c>
    </row>
    <row r="4" spans="1:17" x14ac:dyDescent="0.25">
      <c r="A4" s="21" t="s">
        <v>252</v>
      </c>
      <c r="B4" s="69" t="str">
        <f>"Cost ("&amp;IF(ISBLANK(SelfDefinedCurrencySymbol),CurrencySymbol,SelfDefinedCurrencySymbol)&amp;")"</f>
        <v>Cost ()</v>
      </c>
      <c r="E4" s="21" t="str">
        <f>IF(ISBLANK(Dashboard!H7),"",Dashboard!H7)</f>
        <v/>
      </c>
      <c r="F4" s="21" t="str">
        <f>IF(ISBLANK(Dashboard!K7),"",Dashboard!K7)</f>
        <v/>
      </c>
      <c r="G4" s="21" t="str">
        <f>IF(ISBLANK(Dashboard!L7),"",Dashboard!L7)</f>
        <v/>
      </c>
      <c r="H4" s="21" t="str">
        <f>IF(ISBLANK(Dashboard!I7),"",Dashboard!I7)</f>
        <v/>
      </c>
      <c r="I4" s="80" t="str">
        <f t="shared" ref="I4:I12" si="0">IF(F4&lt;&gt;"",VLOOKUP(F4&amp;"*",$A$10:$C$13,2,FALSE)*$B$3,"")</f>
        <v/>
      </c>
      <c r="J4" s="80" t="str">
        <f>IF(ISBLANK(Dashboard!J7),"",8760*Dashboard!J7)</f>
        <v/>
      </c>
      <c r="K4" s="96" t="str">
        <f t="shared" ref="K4:K12" si="1">IFERROR(G4*H4*J4/1000,"")</f>
        <v/>
      </c>
      <c r="L4" s="71" t="str">
        <f t="shared" ref="L4:L12" si="2">IFERROR(H4*J4/VLOOKUP(F4&amp;"*",$A$6:$C$9,2,FALSE),"")</f>
        <v/>
      </c>
      <c r="M4" s="82" t="str">
        <f t="shared" ref="M4:M12" si="3">IFERROR(L4*I4*$B$3,"")</f>
        <v/>
      </c>
      <c r="N4" s="82" t="str">
        <f t="shared" ref="N4:N12" si="4">IFERROR(L4*$B$15/$B$16*$B$3,"")</f>
        <v/>
      </c>
      <c r="O4" s="84" t="str">
        <f t="shared" ref="O4:O12" si="5">IFERROR(G4*H4*J4*$B$18/1000*$B$3,"")</f>
        <v/>
      </c>
      <c r="P4" s="71" t="str">
        <f t="shared" ref="P4:P12" si="6">IF(SUM(M4:O4)=0,"",SUM(M4:O4))</f>
        <v/>
      </c>
      <c r="Q4" s="23" t="str">
        <f t="shared" ref="Q4:Q12" si="7">IFERROR(G4*H4*J4*$B$19/1000,"")</f>
        <v/>
      </c>
    </row>
    <row r="5" spans="1:17" x14ac:dyDescent="0.25">
      <c r="A5" s="78" t="s">
        <v>248</v>
      </c>
      <c r="B5" s="69"/>
      <c r="E5" s="21" t="str">
        <f>IF(ISBLANK(Dashboard!H8),"",Dashboard!H8)</f>
        <v/>
      </c>
      <c r="F5" s="21" t="str">
        <f>IF(ISBLANK(Dashboard!K8),"",Dashboard!K8)</f>
        <v/>
      </c>
      <c r="G5" s="21" t="str">
        <f>IF(ISBLANK(Dashboard!L8),"",Dashboard!L8)</f>
        <v/>
      </c>
      <c r="H5" s="21" t="str">
        <f>IF(ISBLANK(Dashboard!I8),"",Dashboard!I8)</f>
        <v/>
      </c>
      <c r="I5" s="80" t="str">
        <f t="shared" si="0"/>
        <v/>
      </c>
      <c r="J5" s="80" t="str">
        <f>IF(ISBLANK(Dashboard!J8),"",8760*Dashboard!J8)</f>
        <v/>
      </c>
      <c r="K5" s="96" t="str">
        <f t="shared" si="1"/>
        <v/>
      </c>
      <c r="L5" s="71" t="str">
        <f t="shared" si="2"/>
        <v/>
      </c>
      <c r="M5" s="82" t="str">
        <f t="shared" si="3"/>
        <v/>
      </c>
      <c r="N5" s="82" t="str">
        <f t="shared" si="4"/>
        <v/>
      </c>
      <c r="O5" s="84" t="str">
        <f t="shared" si="5"/>
        <v/>
      </c>
      <c r="P5" s="71" t="str">
        <f t="shared" si="6"/>
        <v/>
      </c>
      <c r="Q5" s="23" t="str">
        <f t="shared" si="7"/>
        <v/>
      </c>
    </row>
    <row r="6" spans="1:17" x14ac:dyDescent="0.25">
      <c r="A6" s="21" t="s">
        <v>249</v>
      </c>
      <c r="B6" s="69">
        <f>IF(ISBLANK(SelfDefinedIncandescentLife),IncandescentLife,SelfDefinedIncandescentLife)</f>
        <v>1375</v>
      </c>
      <c r="C6" s="21" t="s">
        <v>246</v>
      </c>
      <c r="E6" s="21" t="str">
        <f>IF(ISBLANK(Dashboard!H9),"",Dashboard!H9)</f>
        <v/>
      </c>
      <c r="F6" s="21" t="str">
        <f>IF(ISBLANK(Dashboard!K9),"",Dashboard!K9)</f>
        <v/>
      </c>
      <c r="G6" s="21" t="str">
        <f>IF(ISBLANK(Dashboard!L9),"",Dashboard!L9)</f>
        <v/>
      </c>
      <c r="H6" s="21" t="str">
        <f>IF(ISBLANK(Dashboard!I9),"",Dashboard!I9)</f>
        <v/>
      </c>
      <c r="I6" s="80" t="str">
        <f t="shared" si="0"/>
        <v/>
      </c>
      <c r="J6" s="80" t="str">
        <f>IF(ISBLANK(Dashboard!J9),"",8760*Dashboard!J9)</f>
        <v/>
      </c>
      <c r="K6" s="96" t="str">
        <f t="shared" si="1"/>
        <v/>
      </c>
      <c r="L6" s="71" t="str">
        <f t="shared" si="2"/>
        <v/>
      </c>
      <c r="M6" s="82" t="str">
        <f t="shared" si="3"/>
        <v/>
      </c>
      <c r="N6" s="82" t="str">
        <f t="shared" si="4"/>
        <v/>
      </c>
      <c r="O6" s="84" t="str">
        <f t="shared" si="5"/>
        <v/>
      </c>
      <c r="P6" s="71" t="str">
        <f t="shared" si="6"/>
        <v/>
      </c>
      <c r="Q6" s="23" t="str">
        <f t="shared" si="7"/>
        <v/>
      </c>
    </row>
    <row r="7" spans="1:17" x14ac:dyDescent="0.25">
      <c r="A7" s="21" t="s">
        <v>250</v>
      </c>
      <c r="B7" s="69">
        <f>IF(ISBLANK(SelfDefinedHalogenLife),HalogenLife,SelfDefinedHalogenLife)</f>
        <v>3000</v>
      </c>
      <c r="C7" s="21" t="s">
        <v>246</v>
      </c>
      <c r="E7" s="21" t="str">
        <f>IF(ISBLANK(Dashboard!H10),"",Dashboard!H10)</f>
        <v/>
      </c>
      <c r="F7" s="21" t="str">
        <f>IF(ISBLANK(Dashboard!K10),"",Dashboard!K10)</f>
        <v/>
      </c>
      <c r="G7" s="21" t="str">
        <f>IF(ISBLANK(Dashboard!L10),"",Dashboard!L10)</f>
        <v/>
      </c>
      <c r="H7" s="21" t="str">
        <f>IF(ISBLANK(Dashboard!I10),"",Dashboard!I10)</f>
        <v/>
      </c>
      <c r="I7" s="80" t="str">
        <f t="shared" si="0"/>
        <v/>
      </c>
      <c r="J7" s="80" t="str">
        <f>IF(ISBLANK(Dashboard!J10),"",8760*Dashboard!J10)</f>
        <v/>
      </c>
      <c r="K7" s="96" t="str">
        <f t="shared" si="1"/>
        <v/>
      </c>
      <c r="L7" s="71" t="str">
        <f t="shared" si="2"/>
        <v/>
      </c>
      <c r="M7" s="82" t="str">
        <f t="shared" si="3"/>
        <v/>
      </c>
      <c r="N7" s="82" t="str">
        <f t="shared" si="4"/>
        <v/>
      </c>
      <c r="O7" s="84" t="str">
        <f t="shared" si="5"/>
        <v/>
      </c>
      <c r="P7" s="71" t="str">
        <f t="shared" si="6"/>
        <v/>
      </c>
      <c r="Q7" s="23" t="str">
        <f t="shared" si="7"/>
        <v/>
      </c>
    </row>
    <row r="8" spans="1:17" x14ac:dyDescent="0.25">
      <c r="A8" s="21" t="s">
        <v>251</v>
      </c>
      <c r="B8" s="69">
        <f>IF(ISBLANK(SelfDefinedFluorescentLife),FluorescentLife,SelfDefinedFluorescentLife)</f>
        <v>30000</v>
      </c>
      <c r="C8" s="21" t="s">
        <v>246</v>
      </c>
      <c r="E8" s="21" t="str">
        <f>IF(ISBLANK(Dashboard!H11),"",Dashboard!H11)</f>
        <v/>
      </c>
      <c r="F8" s="21" t="str">
        <f>IF(ISBLANK(Dashboard!K11),"",Dashboard!K11)</f>
        <v/>
      </c>
      <c r="G8" s="21" t="str">
        <f>IF(ISBLANK(Dashboard!L11),"",Dashboard!L11)</f>
        <v/>
      </c>
      <c r="H8" s="21" t="str">
        <f>IF(ISBLANK(Dashboard!I11),"",Dashboard!I11)</f>
        <v/>
      </c>
      <c r="I8" s="80" t="str">
        <f t="shared" si="0"/>
        <v/>
      </c>
      <c r="J8" s="80" t="str">
        <f>IF(ISBLANK(Dashboard!J11),"",8760*Dashboard!J11)</f>
        <v/>
      </c>
      <c r="K8" s="96" t="str">
        <f t="shared" si="1"/>
        <v/>
      </c>
      <c r="L8" s="71" t="str">
        <f t="shared" si="2"/>
        <v/>
      </c>
      <c r="M8" s="82" t="str">
        <f t="shared" si="3"/>
        <v/>
      </c>
      <c r="N8" s="82" t="str">
        <f t="shared" si="4"/>
        <v/>
      </c>
      <c r="O8" s="84" t="str">
        <f t="shared" si="5"/>
        <v/>
      </c>
      <c r="P8" s="71" t="str">
        <f t="shared" si="6"/>
        <v/>
      </c>
      <c r="Q8" s="23" t="str">
        <f t="shared" si="7"/>
        <v/>
      </c>
    </row>
    <row r="9" spans="1:17" x14ac:dyDescent="0.25">
      <c r="A9" s="21" t="s">
        <v>253</v>
      </c>
      <c r="B9" s="69">
        <f>IF(ISBLANK(SelfDefinedLEDLife),LEDLife,SelfDefinedLEDLife)</f>
        <v>45000</v>
      </c>
      <c r="C9" s="21" t="s">
        <v>246</v>
      </c>
      <c r="E9" s="21" t="str">
        <f>IF(ISBLANK(Dashboard!H12),"",Dashboard!H12)</f>
        <v/>
      </c>
      <c r="F9" s="21" t="str">
        <f>IF(ISBLANK(Dashboard!K12),"",Dashboard!K12)</f>
        <v/>
      </c>
      <c r="G9" s="21" t="str">
        <f>IF(ISBLANK(Dashboard!L12),"",Dashboard!L12)</f>
        <v/>
      </c>
      <c r="H9" s="21" t="str">
        <f>IF(ISBLANK(Dashboard!I12),"",Dashboard!I12)</f>
        <v/>
      </c>
      <c r="I9" s="80" t="str">
        <f t="shared" si="0"/>
        <v/>
      </c>
      <c r="J9" s="80" t="str">
        <f>IF(ISBLANK(Dashboard!J12),"",8760*Dashboard!J12)</f>
        <v/>
      </c>
      <c r="K9" s="96" t="str">
        <f t="shared" si="1"/>
        <v/>
      </c>
      <c r="L9" s="71" t="str">
        <f t="shared" si="2"/>
        <v/>
      </c>
      <c r="M9" s="82" t="str">
        <f t="shared" si="3"/>
        <v/>
      </c>
      <c r="N9" s="82" t="str">
        <f t="shared" si="4"/>
        <v/>
      </c>
      <c r="O9" s="84" t="str">
        <f t="shared" si="5"/>
        <v/>
      </c>
      <c r="P9" s="71" t="str">
        <f t="shared" si="6"/>
        <v/>
      </c>
      <c r="Q9" s="23" t="str">
        <f t="shared" si="7"/>
        <v/>
      </c>
    </row>
    <row r="10" spans="1:17" x14ac:dyDescent="0.25">
      <c r="A10" s="21" t="s">
        <v>254</v>
      </c>
      <c r="B10" s="69">
        <f>IF(ISBLANK(SelfDefinedIncandescentCost),IncandescentCost,SelfDefinedIncandescentCost)</f>
        <v>3</v>
      </c>
      <c r="C10" s="21" t="s">
        <v>145</v>
      </c>
      <c r="E10" s="21" t="str">
        <f>IF(ISBLANK(Dashboard!H13),"",Dashboard!H13)</f>
        <v/>
      </c>
      <c r="F10" s="21" t="str">
        <f>IF(ISBLANK(Dashboard!K13),"",Dashboard!K13)</f>
        <v/>
      </c>
      <c r="G10" s="21" t="str">
        <f>IF(ISBLANK(Dashboard!L13),"",Dashboard!L13)</f>
        <v/>
      </c>
      <c r="H10" s="21" t="str">
        <f>IF(ISBLANK(Dashboard!I13),"",Dashboard!I13)</f>
        <v/>
      </c>
      <c r="I10" s="80" t="str">
        <f t="shared" si="0"/>
        <v/>
      </c>
      <c r="J10" s="80" t="str">
        <f>IF(ISBLANK(Dashboard!J13),"",8760*Dashboard!J13)</f>
        <v/>
      </c>
      <c r="K10" s="96" t="str">
        <f t="shared" si="1"/>
        <v/>
      </c>
      <c r="L10" s="71" t="str">
        <f t="shared" si="2"/>
        <v/>
      </c>
      <c r="M10" s="82" t="str">
        <f t="shared" si="3"/>
        <v/>
      </c>
      <c r="N10" s="82" t="str">
        <f t="shared" si="4"/>
        <v/>
      </c>
      <c r="O10" s="84" t="str">
        <f t="shared" si="5"/>
        <v/>
      </c>
      <c r="P10" s="71" t="str">
        <f t="shared" si="6"/>
        <v/>
      </c>
      <c r="Q10" s="23" t="str">
        <f t="shared" si="7"/>
        <v/>
      </c>
    </row>
    <row r="11" spans="1:17" x14ac:dyDescent="0.25">
      <c r="A11" s="21" t="s">
        <v>255</v>
      </c>
      <c r="B11" s="69">
        <f>IF(ISBLANK(SelfDefinedHalogenCost),HalogenCost,SelfDefinedHalogenCost)</f>
        <v>4.125</v>
      </c>
      <c r="C11" s="21" t="s">
        <v>145</v>
      </c>
      <c r="E11" s="21" t="str">
        <f>IF(ISBLANK(Dashboard!H14),"",Dashboard!H14)</f>
        <v/>
      </c>
      <c r="F11" s="21" t="str">
        <f>IF(ISBLANK(Dashboard!K14),"",Dashboard!K14)</f>
        <v/>
      </c>
      <c r="G11" s="21" t="str">
        <f>IF(ISBLANK(Dashboard!L14),"",Dashboard!L14)</f>
        <v/>
      </c>
      <c r="H11" s="21" t="str">
        <f>IF(ISBLANK(Dashboard!I14),"",Dashboard!I14)</f>
        <v/>
      </c>
      <c r="I11" s="80" t="str">
        <f t="shared" si="0"/>
        <v/>
      </c>
      <c r="J11" s="80" t="str">
        <f>IF(ISBLANK(Dashboard!J14),"",8760*Dashboard!J14)</f>
        <v/>
      </c>
      <c r="K11" s="96" t="str">
        <f t="shared" si="1"/>
        <v/>
      </c>
      <c r="L11" s="71" t="str">
        <f t="shared" si="2"/>
        <v/>
      </c>
      <c r="M11" s="82" t="str">
        <f t="shared" si="3"/>
        <v/>
      </c>
      <c r="N11" s="82" t="str">
        <f t="shared" si="4"/>
        <v/>
      </c>
      <c r="O11" s="84" t="str">
        <f t="shared" si="5"/>
        <v/>
      </c>
      <c r="P11" s="71" t="str">
        <f t="shared" si="6"/>
        <v/>
      </c>
      <c r="Q11" s="23" t="str">
        <f t="shared" si="7"/>
        <v/>
      </c>
    </row>
    <row r="12" spans="1:17" x14ac:dyDescent="0.25">
      <c r="A12" s="21" t="s">
        <v>256</v>
      </c>
      <c r="B12" s="69">
        <f>IF(ISBLANK(SelfDefinedFlourescentCost),FluorescentCost,SelfDefinedFlourescentCost)</f>
        <v>5.2249999999999996</v>
      </c>
      <c r="C12" s="21" t="s">
        <v>145</v>
      </c>
      <c r="E12" s="24" t="str">
        <f>IF(ISBLANK(Dashboard!H15),"",Dashboard!H15)</f>
        <v/>
      </c>
      <c r="F12" s="24" t="str">
        <f>IF(ISBLANK(Dashboard!K15),"",Dashboard!K15)</f>
        <v/>
      </c>
      <c r="G12" s="24" t="str">
        <f>IF(ISBLANK(Dashboard!L15),"",Dashboard!L15)</f>
        <v/>
      </c>
      <c r="H12" s="24" t="str">
        <f>IF(ISBLANK(Dashboard!I15),"",Dashboard!I15)</f>
        <v/>
      </c>
      <c r="I12" s="24" t="str">
        <f t="shared" si="0"/>
        <v/>
      </c>
      <c r="J12" s="24" t="str">
        <f>IF(ISBLANK(Dashboard!J15),"",8760*Dashboard!J15)</f>
        <v/>
      </c>
      <c r="K12" s="97" t="str">
        <f t="shared" si="1"/>
        <v/>
      </c>
      <c r="L12" s="73" t="str">
        <f t="shared" si="2"/>
        <v/>
      </c>
      <c r="M12" s="72" t="str">
        <f t="shared" si="3"/>
        <v/>
      </c>
      <c r="N12" s="72" t="str">
        <f t="shared" si="4"/>
        <v/>
      </c>
      <c r="O12" s="73" t="str">
        <f t="shared" si="5"/>
        <v/>
      </c>
      <c r="P12" s="73" t="str">
        <f t="shared" si="6"/>
        <v/>
      </c>
      <c r="Q12" s="25" t="str">
        <f t="shared" si="7"/>
        <v/>
      </c>
    </row>
    <row r="13" spans="1:17" x14ac:dyDescent="0.25">
      <c r="A13" s="21" t="s">
        <v>257</v>
      </c>
      <c r="B13" s="69">
        <f>IF(ISBLANK(SelfDefinedLEDCost),LEDCost,SelfDefinedLEDCost)</f>
        <v>6.25</v>
      </c>
      <c r="C13" s="21" t="s">
        <v>145</v>
      </c>
    </row>
    <row r="14" spans="1:17" x14ac:dyDescent="0.25">
      <c r="A14" s="78" t="s">
        <v>258</v>
      </c>
      <c r="B14" s="69"/>
      <c r="E14" s="26" t="s">
        <v>88</v>
      </c>
      <c r="F14" s="26"/>
      <c r="G14" s="26"/>
      <c r="H14" s="26"/>
      <c r="I14" s="26"/>
      <c r="J14" s="26"/>
      <c r="K14" s="26"/>
    </row>
    <row r="15" spans="1:17" x14ac:dyDescent="0.25">
      <c r="A15" s="21" t="s">
        <v>259</v>
      </c>
      <c r="B15" s="69">
        <f>IF(ISBLANK(SelfDefinedLabourCost),LabourCost,SelfDefinedLabourCost)</f>
        <v>20</v>
      </c>
      <c r="C15" s="21" t="s">
        <v>261</v>
      </c>
      <c r="E15" s="22" t="s">
        <v>14</v>
      </c>
      <c r="F15" s="22" t="s">
        <v>0</v>
      </c>
      <c r="G15" s="22" t="s">
        <v>13</v>
      </c>
      <c r="H15" s="22" t="s">
        <v>9</v>
      </c>
      <c r="I15" s="22" t="s">
        <v>298</v>
      </c>
      <c r="J15" s="22" t="s">
        <v>264</v>
      </c>
      <c r="K15" s="22" t="s">
        <v>284</v>
      </c>
      <c r="L15" s="22" t="s">
        <v>263</v>
      </c>
      <c r="M15" s="22" t="s">
        <v>265</v>
      </c>
      <c r="N15" s="22" t="s">
        <v>266</v>
      </c>
      <c r="O15" s="22" t="s">
        <v>86</v>
      </c>
      <c r="P15" s="22" t="s">
        <v>89</v>
      </c>
      <c r="Q15" s="22" t="s">
        <v>87</v>
      </c>
    </row>
    <row r="16" spans="1:17" x14ac:dyDescent="0.25">
      <c r="A16" s="21" t="s">
        <v>260</v>
      </c>
      <c r="B16" s="69">
        <f>IF(ISBLANK(SelfDefinedLabourEfficiency),LabourEfficiency,SelfDefinedLabourEfficiency)</f>
        <v>6</v>
      </c>
      <c r="C16" s="21" t="s">
        <v>262</v>
      </c>
      <c r="E16" s="21" t="str">
        <f>IF(ISBLANK(Dashboard!H6),"",Dashboard!H6)</f>
        <v/>
      </c>
      <c r="F16" s="21" t="str">
        <f>IF(ISBLANK(Dashboard!M6),"",Dashboard!M6)</f>
        <v/>
      </c>
      <c r="G16" s="79" t="str">
        <f>IF(NOT(ISNUMBER(Dashboard!N6)),"",Dashboard!N6)</f>
        <v/>
      </c>
      <c r="H16" s="79" t="str">
        <f>IF(NOT(ISNUMBER(Dashboard!I6)),"",Dashboard!I6)</f>
        <v/>
      </c>
      <c r="I16" s="79" t="str">
        <f>IF(F16&lt;&gt;"",VLOOKUP(F16&amp;"*",$A$10:$C$13,2,FALSE)*$B$3,"")</f>
        <v/>
      </c>
      <c r="J16" s="79" t="str">
        <f>IF(ISBLANK(Dashboard!J6),"",8760*Dashboard!J6)</f>
        <v/>
      </c>
      <c r="K16" s="95" t="str">
        <f>IFERROR(G16*H16*J16/1000,"")</f>
        <v/>
      </c>
      <c r="L16" s="71" t="str">
        <f>IFERROR(H16*J16/VLOOKUP(F16&amp;"*",$A$6:$C$9,2,FALSE),"")</f>
        <v/>
      </c>
      <c r="M16" s="81" t="str">
        <f>IFERROR(L16*I16*$B$3,"")</f>
        <v/>
      </c>
      <c r="N16" s="81" t="str">
        <f>IFERROR(L16*$B$15/$B$16*$B$3,"")</f>
        <v/>
      </c>
      <c r="O16" s="83" t="str">
        <f>IFERROR(G16*H16*J16*$B$18/1000*$B$3,"")</f>
        <v/>
      </c>
      <c r="P16" s="71" t="str">
        <f>IF(SUM(M16:O16)=0,"",SUM(M16:O16))</f>
        <v/>
      </c>
      <c r="Q16" s="23" t="str">
        <f>IFERROR(G16*H16*J16*$B$19/1000,"")</f>
        <v/>
      </c>
    </row>
    <row r="17" spans="1:17" x14ac:dyDescent="0.25">
      <c r="A17" s="78" t="s">
        <v>267</v>
      </c>
      <c r="B17" s="69"/>
      <c r="E17" s="21" t="str">
        <f>IF(ISBLANK(Dashboard!H7),"",Dashboard!H7)</f>
        <v/>
      </c>
      <c r="F17" s="21" t="str">
        <f>IF(ISBLANK(Dashboard!M7),"",Dashboard!M7)</f>
        <v/>
      </c>
      <c r="G17" s="80" t="str">
        <f>IF(NOT(ISNUMBER(Dashboard!N7)),"",Dashboard!N7)</f>
        <v/>
      </c>
      <c r="H17" s="21" t="str">
        <f>IF(NOT(ISNUMBER(Dashboard!I7)),"",Dashboard!I7)</f>
        <v/>
      </c>
      <c r="I17" s="80" t="str">
        <f t="shared" ref="I17:I25" si="8">IF(F17&lt;&gt;"",VLOOKUP(F17&amp;"*",$A$10:$C$13,2,FALSE)*$B$3,"")</f>
        <v/>
      </c>
      <c r="J17" s="80" t="str">
        <f>IF(ISBLANK(Dashboard!J7),"",8760*Dashboard!J7)</f>
        <v/>
      </c>
      <c r="K17" s="96" t="str">
        <f t="shared" ref="K17:K25" si="9">IFERROR(G17*H17*J17/1000,"")</f>
        <v/>
      </c>
      <c r="L17" s="71" t="str">
        <f t="shared" ref="L17:L25" si="10">IFERROR(H17*J17/VLOOKUP(F17&amp;"*",$A$6:$C$9,2,FALSE),"")</f>
        <v/>
      </c>
      <c r="M17" s="70" t="str">
        <f t="shared" ref="M17:M25" si="11">IFERROR(L17*I17*$B$3,"")</f>
        <v/>
      </c>
      <c r="N17" s="70" t="str">
        <f t="shared" ref="N17:N25" si="12">IFERROR(L17*$B$15/$B$16*$B$3,"")</f>
        <v/>
      </c>
      <c r="O17" s="71" t="str">
        <f t="shared" ref="O17:O25" si="13">IFERROR(G17*H17*J17*$B$18/1000*$B$3,"")</f>
        <v/>
      </c>
      <c r="P17" s="71" t="str">
        <f t="shared" ref="P17:P25" si="14">IF(SUM(M17:O17)=0,"",SUM(M17:O17))</f>
        <v/>
      </c>
      <c r="Q17" s="23" t="str">
        <f t="shared" ref="Q17:Q25" si="15">IFERROR(G17*H17*J17*$B$19/1000,"")</f>
        <v/>
      </c>
    </row>
    <row r="18" spans="1:17" x14ac:dyDescent="0.25">
      <c r="A18" s="21" t="s">
        <v>268</v>
      </c>
      <c r="B18" s="21" t="str">
        <f>IF(ISBLANK(SelfDefinedElectricityPrice),ElectricityPrice,SelfDefinedElectricityPrice)</f>
        <v/>
      </c>
      <c r="C18" s="21" t="s">
        <v>270</v>
      </c>
      <c r="E18" s="21" t="str">
        <f>IF(ISBLANK(Dashboard!H8),"",Dashboard!H8)</f>
        <v/>
      </c>
      <c r="F18" s="21" t="str">
        <f>IF(ISBLANK(Dashboard!M8),"",Dashboard!M8)</f>
        <v/>
      </c>
      <c r="G18" s="80" t="str">
        <f>IF(NOT(ISNUMBER(Dashboard!N8)),"",Dashboard!N8)</f>
        <v/>
      </c>
      <c r="H18" s="21" t="str">
        <f>IF(NOT(ISNUMBER(Dashboard!I8)),"",Dashboard!I8)</f>
        <v/>
      </c>
      <c r="I18" s="80" t="str">
        <f t="shared" si="8"/>
        <v/>
      </c>
      <c r="J18" s="80" t="str">
        <f>IF(ISBLANK(Dashboard!J8),"",8760*Dashboard!J8)</f>
        <v/>
      </c>
      <c r="K18" s="96" t="str">
        <f t="shared" si="9"/>
        <v/>
      </c>
      <c r="L18" s="71" t="str">
        <f t="shared" si="10"/>
        <v/>
      </c>
      <c r="M18" s="70" t="str">
        <f t="shared" si="11"/>
        <v/>
      </c>
      <c r="N18" s="70" t="str">
        <f t="shared" si="12"/>
        <v/>
      </c>
      <c r="O18" s="71" t="str">
        <f t="shared" si="13"/>
        <v/>
      </c>
      <c r="P18" s="71" t="str">
        <f t="shared" si="14"/>
        <v/>
      </c>
      <c r="Q18" s="23" t="str">
        <f t="shared" si="15"/>
        <v/>
      </c>
    </row>
    <row r="19" spans="1:17" x14ac:dyDescent="0.25">
      <c r="A19" s="21" t="s">
        <v>269</v>
      </c>
      <c r="B19" s="21" t="str">
        <f>IF(ISBLANK(SelfDefinedEmissionsFactor),EmissionsFactor,SelfDefinedEmissionsFactor)</f>
        <v/>
      </c>
      <c r="C19" s="21" t="s">
        <v>85</v>
      </c>
      <c r="E19" s="21" t="str">
        <f>IF(ISBLANK(Dashboard!H9),"",Dashboard!H9)</f>
        <v/>
      </c>
      <c r="F19" s="21" t="str">
        <f>IF(ISBLANK(Dashboard!M9),"",Dashboard!M9)</f>
        <v/>
      </c>
      <c r="G19" s="80" t="str">
        <f>IF(NOT(ISNUMBER(Dashboard!N9)),"",Dashboard!N9)</f>
        <v/>
      </c>
      <c r="H19" s="21" t="str">
        <f>IF(NOT(ISNUMBER(Dashboard!I9)),"",Dashboard!I9)</f>
        <v/>
      </c>
      <c r="I19" s="80" t="str">
        <f t="shared" si="8"/>
        <v/>
      </c>
      <c r="J19" s="80" t="str">
        <f>IF(ISBLANK(Dashboard!J9),"",8760*Dashboard!J9)</f>
        <v/>
      </c>
      <c r="K19" s="96" t="str">
        <f t="shared" si="9"/>
        <v/>
      </c>
      <c r="L19" s="71" t="str">
        <f t="shared" si="10"/>
        <v/>
      </c>
      <c r="M19" s="70" t="str">
        <f t="shared" si="11"/>
        <v/>
      </c>
      <c r="N19" s="70" t="str">
        <f t="shared" si="12"/>
        <v/>
      </c>
      <c r="O19" s="71" t="str">
        <f t="shared" si="13"/>
        <v/>
      </c>
      <c r="P19" s="71" t="str">
        <f t="shared" si="14"/>
        <v/>
      </c>
      <c r="Q19" s="23" t="str">
        <f t="shared" si="15"/>
        <v/>
      </c>
    </row>
    <row r="20" spans="1:17" x14ac:dyDescent="0.25">
      <c r="E20" s="21" t="str">
        <f>IF(ISBLANK(Dashboard!H10),"",Dashboard!H10)</f>
        <v/>
      </c>
      <c r="F20" s="21" t="str">
        <f>IF(ISBLANK(Dashboard!M10),"",Dashboard!M10)</f>
        <v/>
      </c>
      <c r="G20" s="80" t="str">
        <f>IF(NOT(ISNUMBER(Dashboard!N10)),"",Dashboard!N10)</f>
        <v/>
      </c>
      <c r="H20" s="21" t="str">
        <f>IF(NOT(ISNUMBER(Dashboard!I10)),"",Dashboard!I10)</f>
        <v/>
      </c>
      <c r="I20" s="80" t="str">
        <f t="shared" si="8"/>
        <v/>
      </c>
      <c r="J20" s="80" t="str">
        <f>IF(ISBLANK(Dashboard!J10),"",8760*Dashboard!J10)</f>
        <v/>
      </c>
      <c r="K20" s="96" t="str">
        <f t="shared" si="9"/>
        <v/>
      </c>
      <c r="L20" s="71" t="str">
        <f t="shared" si="10"/>
        <v/>
      </c>
      <c r="M20" s="70" t="str">
        <f t="shared" si="11"/>
        <v/>
      </c>
      <c r="N20" s="70" t="str">
        <f t="shared" si="12"/>
        <v/>
      </c>
      <c r="O20" s="71" t="str">
        <f t="shared" si="13"/>
        <v/>
      </c>
      <c r="P20" s="71" t="str">
        <f t="shared" si="14"/>
        <v/>
      </c>
      <c r="Q20" s="23" t="str">
        <f t="shared" si="15"/>
        <v/>
      </c>
    </row>
    <row r="21" spans="1:17" x14ac:dyDescent="0.25">
      <c r="E21" s="21" t="str">
        <f>IF(ISBLANK(Dashboard!H11),"",Dashboard!H11)</f>
        <v/>
      </c>
      <c r="F21" s="21" t="str">
        <f>IF(ISBLANK(Dashboard!M11),"",Dashboard!M11)</f>
        <v/>
      </c>
      <c r="G21" s="80" t="str">
        <f>IF(NOT(ISNUMBER(Dashboard!N11)),"",Dashboard!N11)</f>
        <v/>
      </c>
      <c r="H21" s="21" t="str">
        <f>IF(NOT(ISNUMBER(Dashboard!I11)),"",Dashboard!I11)</f>
        <v/>
      </c>
      <c r="I21" s="80" t="str">
        <f t="shared" si="8"/>
        <v/>
      </c>
      <c r="J21" s="80" t="str">
        <f>IF(ISBLANK(Dashboard!J11),"",8760*Dashboard!J11)</f>
        <v/>
      </c>
      <c r="K21" s="96" t="str">
        <f t="shared" si="9"/>
        <v/>
      </c>
      <c r="L21" s="71" t="str">
        <f t="shared" si="10"/>
        <v/>
      </c>
      <c r="M21" s="70" t="str">
        <f t="shared" si="11"/>
        <v/>
      </c>
      <c r="N21" s="70" t="str">
        <f t="shared" si="12"/>
        <v/>
      </c>
      <c r="O21" s="71" t="str">
        <f t="shared" si="13"/>
        <v/>
      </c>
      <c r="P21" s="71" t="str">
        <f t="shared" si="14"/>
        <v/>
      </c>
      <c r="Q21" s="23" t="str">
        <f t="shared" si="15"/>
        <v/>
      </c>
    </row>
    <row r="22" spans="1:17" x14ac:dyDescent="0.25">
      <c r="E22" s="21" t="str">
        <f>IF(ISBLANK(Dashboard!H12),"",Dashboard!H12)</f>
        <v/>
      </c>
      <c r="F22" s="21" t="str">
        <f>IF(ISBLANK(Dashboard!M12),"",Dashboard!M12)</f>
        <v/>
      </c>
      <c r="G22" s="80" t="str">
        <f>IF(NOT(ISNUMBER(Dashboard!N12)),"",Dashboard!N12)</f>
        <v/>
      </c>
      <c r="H22" s="21" t="str">
        <f>IF(NOT(ISNUMBER(Dashboard!I12)),"",Dashboard!I12)</f>
        <v/>
      </c>
      <c r="I22" s="80" t="str">
        <f t="shared" si="8"/>
        <v/>
      </c>
      <c r="J22" s="80" t="str">
        <f>IF(ISBLANK(Dashboard!J12),"",8760*Dashboard!J12)</f>
        <v/>
      </c>
      <c r="K22" s="96" t="str">
        <f t="shared" si="9"/>
        <v/>
      </c>
      <c r="L22" s="71" t="str">
        <f t="shared" si="10"/>
        <v/>
      </c>
      <c r="M22" s="70" t="str">
        <f t="shared" si="11"/>
        <v/>
      </c>
      <c r="N22" s="70" t="str">
        <f t="shared" si="12"/>
        <v/>
      </c>
      <c r="O22" s="71" t="str">
        <f t="shared" si="13"/>
        <v/>
      </c>
      <c r="P22" s="71" t="str">
        <f t="shared" si="14"/>
        <v/>
      </c>
      <c r="Q22" s="23" t="str">
        <f t="shared" si="15"/>
        <v/>
      </c>
    </row>
    <row r="23" spans="1:17" x14ac:dyDescent="0.25">
      <c r="E23" s="21" t="str">
        <f>IF(ISBLANK(Dashboard!H13),"",Dashboard!H13)</f>
        <v/>
      </c>
      <c r="F23" s="21" t="str">
        <f>IF(ISBLANK(Dashboard!M13),"",Dashboard!M13)</f>
        <v/>
      </c>
      <c r="G23" s="80" t="str">
        <f>IF(NOT(ISNUMBER(Dashboard!N13)),"",Dashboard!N13)</f>
        <v/>
      </c>
      <c r="H23" s="21" t="str">
        <f>IF(NOT(ISNUMBER(Dashboard!I13)),"",Dashboard!I13)</f>
        <v/>
      </c>
      <c r="I23" s="80" t="str">
        <f t="shared" si="8"/>
        <v/>
      </c>
      <c r="J23" s="80" t="str">
        <f>IF(ISBLANK(Dashboard!J13),"",8760*Dashboard!J13)</f>
        <v/>
      </c>
      <c r="K23" s="96" t="str">
        <f t="shared" si="9"/>
        <v/>
      </c>
      <c r="L23" s="71" t="str">
        <f t="shared" si="10"/>
        <v/>
      </c>
      <c r="M23" s="70" t="str">
        <f t="shared" si="11"/>
        <v/>
      </c>
      <c r="N23" s="70" t="str">
        <f t="shared" si="12"/>
        <v/>
      </c>
      <c r="O23" s="71" t="str">
        <f t="shared" si="13"/>
        <v/>
      </c>
      <c r="P23" s="71" t="str">
        <f t="shared" si="14"/>
        <v/>
      </c>
      <c r="Q23" s="23" t="str">
        <f t="shared" si="15"/>
        <v/>
      </c>
    </row>
    <row r="24" spans="1:17" x14ac:dyDescent="0.25">
      <c r="E24" s="21" t="str">
        <f>IF(ISBLANK(Dashboard!H14),"",Dashboard!H14)</f>
        <v/>
      </c>
      <c r="F24" s="21" t="str">
        <f>IF(ISBLANK(Dashboard!M14),"",Dashboard!M14)</f>
        <v/>
      </c>
      <c r="G24" s="80" t="str">
        <f>IF(NOT(ISNUMBER(Dashboard!N14)),"",Dashboard!N14)</f>
        <v/>
      </c>
      <c r="H24" s="21" t="str">
        <f>IF(NOT(ISNUMBER(Dashboard!I14)),"",Dashboard!I14)</f>
        <v/>
      </c>
      <c r="I24" s="80" t="str">
        <f t="shared" si="8"/>
        <v/>
      </c>
      <c r="J24" s="80" t="str">
        <f>IF(ISBLANK(Dashboard!J14),"",8760*Dashboard!J14)</f>
        <v/>
      </c>
      <c r="K24" s="96" t="str">
        <f t="shared" si="9"/>
        <v/>
      </c>
      <c r="L24" s="71" t="str">
        <f t="shared" si="10"/>
        <v/>
      </c>
      <c r="M24" s="70" t="str">
        <f t="shared" si="11"/>
        <v/>
      </c>
      <c r="N24" s="70" t="str">
        <f t="shared" si="12"/>
        <v/>
      </c>
      <c r="O24" s="71" t="str">
        <f t="shared" si="13"/>
        <v/>
      </c>
      <c r="P24" s="71" t="str">
        <f t="shared" si="14"/>
        <v/>
      </c>
      <c r="Q24" s="23" t="str">
        <f t="shared" si="15"/>
        <v/>
      </c>
    </row>
    <row r="25" spans="1:17" x14ac:dyDescent="0.25">
      <c r="E25" s="24" t="str">
        <f>IF(ISBLANK(Dashboard!H15),"",Dashboard!H15)</f>
        <v/>
      </c>
      <c r="F25" s="24" t="str">
        <f>IF(ISBLANK(Dashboard!M15),"",Dashboard!M15)</f>
        <v/>
      </c>
      <c r="G25" s="24" t="str">
        <f>IF(NOT(ISNUMBER(Dashboard!N15)),"",Dashboard!N15)</f>
        <v/>
      </c>
      <c r="H25" s="24" t="str">
        <f>IF(NOT(ISNUMBER(Dashboard!I15)),"",Dashboard!I15)</f>
        <v/>
      </c>
      <c r="I25" s="24" t="str">
        <f t="shared" si="8"/>
        <v/>
      </c>
      <c r="J25" s="24" t="str">
        <f>IF(ISBLANK(Dashboard!J15),"",8760*Dashboard!J15)</f>
        <v/>
      </c>
      <c r="K25" s="97" t="str">
        <f t="shared" si="9"/>
        <v/>
      </c>
      <c r="L25" s="73" t="str">
        <f t="shared" si="10"/>
        <v/>
      </c>
      <c r="M25" s="72" t="str">
        <f t="shared" si="11"/>
        <v/>
      </c>
      <c r="N25" s="72" t="str">
        <f t="shared" si="12"/>
        <v/>
      </c>
      <c r="O25" s="73" t="str">
        <f t="shared" si="13"/>
        <v/>
      </c>
      <c r="P25" s="73" t="str">
        <f t="shared" si="14"/>
        <v/>
      </c>
      <c r="Q25" s="25" t="str">
        <f t="shared" si="15"/>
        <v/>
      </c>
    </row>
    <row r="27" spans="1:17" x14ac:dyDescent="0.25">
      <c r="E27" s="27" t="s">
        <v>90</v>
      </c>
      <c r="F27" s="27"/>
      <c r="G27" s="27"/>
      <c r="H27" s="27"/>
      <c r="I27" s="27"/>
      <c r="J27" s="27"/>
      <c r="K27" s="27"/>
      <c r="L27" s="24"/>
      <c r="M27" s="24" t="s">
        <v>271</v>
      </c>
      <c r="N27" s="24" t="s">
        <v>239</v>
      </c>
      <c r="O27" s="24" t="s">
        <v>272</v>
      </c>
      <c r="P27" s="24" t="s">
        <v>273</v>
      </c>
      <c r="Q27" s="24"/>
    </row>
    <row r="28" spans="1:17" x14ac:dyDescent="0.25">
      <c r="E28" s="21" t="s">
        <v>11</v>
      </c>
      <c r="G28" s="96">
        <f t="shared" ref="G28" si="16">SUMIF(G3:G12,"&lt;&gt;#N/A")</f>
        <v>0</v>
      </c>
      <c r="H28" s="96">
        <f t="shared" ref="H28:I28" si="17">SUMIF(H3:H12,"&lt;&gt;#N/A")</f>
        <v>0</v>
      </c>
      <c r="I28" s="96">
        <f t="shared" si="17"/>
        <v>0</v>
      </c>
      <c r="J28" s="96">
        <f t="shared" ref="J28" si="18">SUMIF(J3:J12,"&lt;&gt;#N/A")</f>
        <v>0</v>
      </c>
      <c r="K28" s="96">
        <f t="shared" ref="K28:Q28" si="19">SUMIF(K3:K12,"&lt;&gt;#N/A")</f>
        <v>0</v>
      </c>
      <c r="L28" s="71">
        <f t="shared" si="19"/>
        <v>0</v>
      </c>
      <c r="M28" s="71">
        <f t="shared" si="19"/>
        <v>0</v>
      </c>
      <c r="N28" s="71">
        <f t="shared" si="19"/>
        <v>0</v>
      </c>
      <c r="O28" s="71">
        <f t="shared" si="19"/>
        <v>0</v>
      </c>
      <c r="P28" s="71">
        <f t="shared" si="19"/>
        <v>0</v>
      </c>
      <c r="Q28" s="23">
        <f t="shared" si="19"/>
        <v>0</v>
      </c>
    </row>
    <row r="29" spans="1:17" x14ac:dyDescent="0.25">
      <c r="E29" s="24" t="s">
        <v>12</v>
      </c>
      <c r="F29" s="24"/>
      <c r="G29" s="97">
        <f t="shared" ref="G29" si="20">SUMIF(G16:G25,"&lt;&gt;#N/A")</f>
        <v>0</v>
      </c>
      <c r="H29" s="97">
        <f t="shared" ref="H29:I29" si="21">SUMIF(H16:H25,"&lt;&gt;#N/A")</f>
        <v>0</v>
      </c>
      <c r="I29" s="97">
        <f t="shared" si="21"/>
        <v>0</v>
      </c>
      <c r="J29" s="97">
        <f t="shared" ref="J29" si="22">SUMIF(J16:J25,"&lt;&gt;#N/A")</f>
        <v>0</v>
      </c>
      <c r="K29" s="97">
        <f t="shared" ref="K29:Q29" si="23">SUMIF(K16:K25,"&lt;&gt;#N/A")</f>
        <v>0</v>
      </c>
      <c r="L29" s="73">
        <f t="shared" si="23"/>
        <v>0</v>
      </c>
      <c r="M29" s="73">
        <f t="shared" si="23"/>
        <v>0</v>
      </c>
      <c r="N29" s="73">
        <f t="shared" si="23"/>
        <v>0</v>
      </c>
      <c r="O29" s="73">
        <f t="shared" si="23"/>
        <v>0</v>
      </c>
      <c r="P29" s="73">
        <f t="shared" si="23"/>
        <v>0</v>
      </c>
      <c r="Q29" s="25">
        <f t="shared" si="23"/>
        <v>0</v>
      </c>
    </row>
    <row r="31" spans="1:17" x14ac:dyDescent="0.25">
      <c r="E31" s="27" t="s">
        <v>296</v>
      </c>
      <c r="F31" s="24" t="s">
        <v>297</v>
      </c>
      <c r="G31" s="24" t="s">
        <v>239</v>
      </c>
      <c r="H31" s="24" t="s">
        <v>273</v>
      </c>
      <c r="I31" s="80"/>
    </row>
    <row r="32" spans="1:17" x14ac:dyDescent="0.25">
      <c r="E32" s="21" t="s">
        <v>11</v>
      </c>
      <c r="F32" s="137">
        <f>SUMPRODUCT(H3:H12,I3:I12)</f>
        <v>0</v>
      </c>
      <c r="G32" s="137">
        <f>H28*B15/B16</f>
        <v>0</v>
      </c>
      <c r="H32" s="139">
        <f>SUM(F32:G32)</f>
        <v>0</v>
      </c>
    </row>
    <row r="33" spans="5:9" x14ac:dyDescent="0.25">
      <c r="E33" s="24" t="s">
        <v>12</v>
      </c>
      <c r="F33" s="138">
        <f>SUMPRODUCT(H16:H25,I16:I25)</f>
        <v>0</v>
      </c>
      <c r="G33" s="138">
        <f>H29*B15/B16</f>
        <v>0</v>
      </c>
      <c r="H33" s="140">
        <f>SUM(F33:G33)</f>
        <v>0</v>
      </c>
      <c r="I33" s="80"/>
    </row>
    <row r="35" spans="5:9" x14ac:dyDescent="0.25">
      <c r="E35" s="27" t="s">
        <v>274</v>
      </c>
      <c r="F35" s="24"/>
      <c r="G35" s="24"/>
      <c r="H35" s="24"/>
      <c r="I35" s="80"/>
    </row>
    <row r="36" spans="5:9" ht="30" x14ac:dyDescent="0.25">
      <c r="E36" s="135" t="s">
        <v>275</v>
      </c>
      <c r="F36" s="135" t="s">
        <v>276</v>
      </c>
      <c r="G36" s="135" t="s">
        <v>277</v>
      </c>
      <c r="H36" s="135" t="s">
        <v>278</v>
      </c>
      <c r="I36" s="136"/>
    </row>
  </sheetData>
  <sheetProtection password="E5E0" sheet="1" objects="1" scenarios="1"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topLeftCell="L1" workbookViewId="0">
      <selection activeCell="L1" sqref="L1"/>
    </sheetView>
  </sheetViews>
  <sheetFormatPr defaultRowHeight="15" x14ac:dyDescent="0.25"/>
  <cols>
    <col min="1" max="1" width="26.7109375" hidden="1" customWidth="1"/>
    <col min="2" max="2" width="38" hidden="1" customWidth="1"/>
    <col min="3" max="3" width="33" hidden="1" customWidth="1"/>
    <col min="4" max="4" width="16.42578125" hidden="1" customWidth="1"/>
    <col min="5" max="5" width="26.7109375" hidden="1" customWidth="1"/>
    <col min="6" max="6" width="27.28515625" hidden="1" customWidth="1"/>
    <col min="7" max="8" width="26.7109375" hidden="1" customWidth="1"/>
    <col min="9" max="9" width="15.28515625" hidden="1" customWidth="1"/>
    <col min="10" max="10" width="0" hidden="1" customWidth="1"/>
    <col min="11" max="11" width="19.5703125" hidden="1" customWidth="1"/>
  </cols>
  <sheetData>
    <row r="1" spans="1:11" x14ac:dyDescent="0.25">
      <c r="A1" s="11" t="s">
        <v>0</v>
      </c>
      <c r="B1" s="11" t="s">
        <v>8</v>
      </c>
      <c r="C1" s="11" t="s">
        <v>7</v>
      </c>
      <c r="D1" s="11" t="s">
        <v>5</v>
      </c>
      <c r="E1" s="11" t="s">
        <v>6</v>
      </c>
      <c r="F1" s="11" t="s">
        <v>136</v>
      </c>
      <c r="G1" s="11" t="s">
        <v>137</v>
      </c>
    </row>
    <row r="2" spans="1:11" x14ac:dyDescent="0.25">
      <c r="A2" s="1" t="s">
        <v>1</v>
      </c>
      <c r="B2" s="1">
        <v>60</v>
      </c>
      <c r="C2" s="2">
        <f>Backhouse!$B2/$B$2</f>
        <v>1</v>
      </c>
      <c r="D2" s="3">
        <v>750</v>
      </c>
      <c r="E2" s="3">
        <v>2000</v>
      </c>
      <c r="F2" s="4">
        <v>2.5</v>
      </c>
      <c r="G2" s="4">
        <v>3.5</v>
      </c>
    </row>
    <row r="3" spans="1:11" x14ac:dyDescent="0.25">
      <c r="A3" s="1" t="s">
        <v>2</v>
      </c>
      <c r="B3" s="1">
        <v>42</v>
      </c>
      <c r="C3" s="2">
        <f>Backhouse!$B3/$B$2</f>
        <v>0.7</v>
      </c>
      <c r="D3" s="3">
        <v>2000</v>
      </c>
      <c r="E3" s="3">
        <v>4000</v>
      </c>
      <c r="F3" s="4">
        <v>3.25</v>
      </c>
      <c r="G3" s="4">
        <v>5</v>
      </c>
    </row>
    <row r="4" spans="1:11" x14ac:dyDescent="0.25">
      <c r="A4" s="1" t="s">
        <v>3</v>
      </c>
      <c r="B4" s="1">
        <v>12</v>
      </c>
      <c r="C4" s="2">
        <f>Backhouse!$B4/$B$2</f>
        <v>0.2</v>
      </c>
      <c r="D4" s="3">
        <v>24000</v>
      </c>
      <c r="E4" s="3">
        <v>36000</v>
      </c>
      <c r="F4" s="4">
        <v>4.2</v>
      </c>
      <c r="G4" s="4">
        <v>6.25</v>
      </c>
    </row>
    <row r="5" spans="1:11" x14ac:dyDescent="0.25">
      <c r="A5" s="5" t="s">
        <v>4</v>
      </c>
      <c r="B5" s="5">
        <v>10</v>
      </c>
      <c r="C5" s="6">
        <f>Backhouse!$B5/$B$2</f>
        <v>0.16666666666666666</v>
      </c>
      <c r="D5" s="7">
        <v>40000</v>
      </c>
      <c r="E5" s="7">
        <v>50000</v>
      </c>
      <c r="F5" s="8">
        <v>4.5</v>
      </c>
      <c r="G5" s="8">
        <v>8</v>
      </c>
    </row>
    <row r="7" spans="1:11" x14ac:dyDescent="0.25">
      <c r="A7" s="10" t="s">
        <v>1</v>
      </c>
      <c r="B7" s="10" t="s">
        <v>2</v>
      </c>
      <c r="C7" s="10" t="s">
        <v>3</v>
      </c>
      <c r="D7" s="10" t="s">
        <v>4</v>
      </c>
      <c r="F7" s="59"/>
    </row>
    <row r="8" spans="1:11" x14ac:dyDescent="0.25">
      <c r="A8">
        <v>25</v>
      </c>
      <c r="B8">
        <v>18</v>
      </c>
      <c r="C8">
        <v>5</v>
      </c>
      <c r="D8">
        <v>5</v>
      </c>
    </row>
    <row r="9" spans="1:11" x14ac:dyDescent="0.25">
      <c r="A9">
        <v>40</v>
      </c>
      <c r="B9">
        <v>28</v>
      </c>
      <c r="C9">
        <v>8</v>
      </c>
      <c r="D9">
        <v>7</v>
      </c>
    </row>
    <row r="10" spans="1:11" x14ac:dyDescent="0.25">
      <c r="A10">
        <v>60</v>
      </c>
      <c r="B10">
        <v>42</v>
      </c>
      <c r="C10">
        <v>12</v>
      </c>
      <c r="D10">
        <v>10</v>
      </c>
    </row>
    <row r="11" spans="1:11" x14ac:dyDescent="0.25">
      <c r="A11">
        <v>75</v>
      </c>
      <c r="B11">
        <v>53</v>
      </c>
      <c r="C11">
        <v>15</v>
      </c>
      <c r="D11">
        <v>13</v>
      </c>
    </row>
    <row r="12" spans="1:11" x14ac:dyDescent="0.25">
      <c r="A12" s="9">
        <v>100</v>
      </c>
      <c r="B12" s="9">
        <v>70</v>
      </c>
      <c r="C12" s="9">
        <v>20</v>
      </c>
      <c r="D12" s="9">
        <v>17</v>
      </c>
    </row>
    <row r="14" spans="1:11" x14ac:dyDescent="0.25">
      <c r="A14" s="10" t="s">
        <v>15</v>
      </c>
      <c r="B14" s="10" t="s">
        <v>16</v>
      </c>
      <c r="C14" s="10" t="s">
        <v>138</v>
      </c>
      <c r="E14" s="10" t="s">
        <v>80</v>
      </c>
      <c r="F14" s="13" t="s">
        <v>135</v>
      </c>
      <c r="G14" s="13" t="s">
        <v>144</v>
      </c>
      <c r="H14" s="10" t="s">
        <v>82</v>
      </c>
      <c r="I14" s="13" t="s">
        <v>83</v>
      </c>
      <c r="K14" s="13" t="s">
        <v>146</v>
      </c>
    </row>
    <row r="15" spans="1:11" x14ac:dyDescent="0.25">
      <c r="A15" t="s">
        <v>17</v>
      </c>
      <c r="B15" s="12">
        <v>0.67</v>
      </c>
      <c r="C15" s="12">
        <v>0.16600000000000001</v>
      </c>
      <c r="E15" t="s">
        <v>82</v>
      </c>
      <c r="F15">
        <v>1</v>
      </c>
      <c r="G15" s="65" t="s">
        <v>145</v>
      </c>
      <c r="H15" t="s">
        <v>17</v>
      </c>
      <c r="I15" t="s">
        <v>30</v>
      </c>
      <c r="K15" s="65" t="s">
        <v>145</v>
      </c>
    </row>
    <row r="16" spans="1:11" x14ac:dyDescent="0.25">
      <c r="A16" t="s">
        <v>18</v>
      </c>
      <c r="B16" s="12">
        <v>1.9699999999999999E-2</v>
      </c>
      <c r="C16" s="12">
        <v>0.126</v>
      </c>
      <c r="E16" t="s">
        <v>83</v>
      </c>
      <c r="F16">
        <v>0.79779999999999995</v>
      </c>
      <c r="G16" s="65" t="s">
        <v>145</v>
      </c>
      <c r="H16" t="s">
        <v>18</v>
      </c>
      <c r="I16" t="s">
        <v>31</v>
      </c>
      <c r="K16" s="65" t="s">
        <v>147</v>
      </c>
    </row>
    <row r="17" spans="1:11" x14ac:dyDescent="0.25">
      <c r="A17" t="s">
        <v>19</v>
      </c>
      <c r="B17" s="12">
        <v>1.2999999999999999E-3</v>
      </c>
      <c r="C17" s="12">
        <v>9.9000000000000005E-2</v>
      </c>
      <c r="H17" t="s">
        <v>19</v>
      </c>
      <c r="I17" t="s">
        <v>32</v>
      </c>
      <c r="K17" s="65" t="s">
        <v>148</v>
      </c>
    </row>
    <row r="18" spans="1:11" x14ac:dyDescent="0.25">
      <c r="A18" t="s">
        <v>20</v>
      </c>
      <c r="B18" s="12">
        <v>0.27</v>
      </c>
      <c r="C18" s="12">
        <v>0.127</v>
      </c>
      <c r="H18" t="s">
        <v>20</v>
      </c>
      <c r="I18" t="s">
        <v>33</v>
      </c>
      <c r="K18" s="65" t="s">
        <v>149</v>
      </c>
    </row>
    <row r="19" spans="1:11" x14ac:dyDescent="0.25">
      <c r="A19" t="s">
        <v>21</v>
      </c>
      <c r="B19" s="12">
        <v>2.8000000000000001E-2</v>
      </c>
      <c r="C19" s="12">
        <v>0.13800000000000001</v>
      </c>
      <c r="H19" t="s">
        <v>21</v>
      </c>
      <c r="I19" t="s">
        <v>34</v>
      </c>
      <c r="K19" s="65" t="s">
        <v>150</v>
      </c>
    </row>
    <row r="20" spans="1:11" x14ac:dyDescent="0.25">
      <c r="A20" t="s">
        <v>27</v>
      </c>
      <c r="B20" s="12">
        <v>0.2</v>
      </c>
      <c r="C20" s="12">
        <v>0.17100000000000001</v>
      </c>
      <c r="H20" t="s">
        <v>27</v>
      </c>
      <c r="I20" t="s">
        <v>35</v>
      </c>
      <c r="K20" s="65" t="s">
        <v>151</v>
      </c>
    </row>
    <row r="21" spans="1:11" x14ac:dyDescent="0.25">
      <c r="A21" t="s">
        <v>22</v>
      </c>
      <c r="B21" s="12">
        <v>0.76</v>
      </c>
      <c r="C21" s="12">
        <v>0.38200000000000001</v>
      </c>
      <c r="H21" t="s">
        <v>22</v>
      </c>
      <c r="I21" t="s">
        <v>36</v>
      </c>
      <c r="K21" s="65" t="s">
        <v>152</v>
      </c>
    </row>
    <row r="22" spans="1:11" x14ac:dyDescent="0.25">
      <c r="A22" t="s">
        <v>28</v>
      </c>
      <c r="B22" s="12">
        <v>0.89</v>
      </c>
      <c r="C22" s="12">
        <v>0.375</v>
      </c>
      <c r="H22" t="s">
        <v>28</v>
      </c>
      <c r="I22" t="s">
        <v>37</v>
      </c>
      <c r="K22" s="65" t="s">
        <v>153</v>
      </c>
    </row>
    <row r="23" spans="1:11" x14ac:dyDescent="0.25">
      <c r="A23" t="s">
        <v>23</v>
      </c>
      <c r="B23" s="12">
        <v>0.03</v>
      </c>
      <c r="C23" s="12">
        <v>0.13</v>
      </c>
      <c r="H23" t="s">
        <v>23</v>
      </c>
      <c r="I23" t="s">
        <v>38</v>
      </c>
      <c r="K23" s="65" t="s">
        <v>154</v>
      </c>
    </row>
    <row r="24" spans="1:11" x14ac:dyDescent="0.25">
      <c r="A24" t="s">
        <v>24</v>
      </c>
      <c r="B24" s="12">
        <v>2E-3</v>
      </c>
      <c r="C24" s="12">
        <v>0.17399999999999999</v>
      </c>
      <c r="H24" t="s">
        <v>24</v>
      </c>
      <c r="I24" t="s">
        <v>39</v>
      </c>
      <c r="K24" s="65" t="s">
        <v>155</v>
      </c>
    </row>
    <row r="25" spans="1:11" x14ac:dyDescent="0.25">
      <c r="A25" t="s">
        <v>25</v>
      </c>
      <c r="B25" s="12">
        <v>1.5E-3</v>
      </c>
      <c r="C25" s="12">
        <v>7.2999999999999995E-2</v>
      </c>
      <c r="H25" t="s">
        <v>25</v>
      </c>
      <c r="I25" t="s">
        <v>40</v>
      </c>
      <c r="K25" s="65" t="s">
        <v>156</v>
      </c>
    </row>
    <row r="26" spans="1:11" x14ac:dyDescent="0.25">
      <c r="A26" t="s">
        <v>26</v>
      </c>
      <c r="B26" s="12">
        <v>0.71</v>
      </c>
      <c r="C26" s="12">
        <v>0.18099999999999999</v>
      </c>
      <c r="H26" t="s">
        <v>26</v>
      </c>
      <c r="I26" t="s">
        <v>41</v>
      </c>
      <c r="K26" s="65" t="s">
        <v>157</v>
      </c>
    </row>
    <row r="27" spans="1:11" x14ac:dyDescent="0.25">
      <c r="A27" t="s">
        <v>29</v>
      </c>
      <c r="B27" s="12">
        <v>0.113</v>
      </c>
      <c r="C27" s="12">
        <v>0.187</v>
      </c>
      <c r="H27" t="s">
        <v>29</v>
      </c>
      <c r="I27" t="s">
        <v>42</v>
      </c>
      <c r="K27" s="65" t="s">
        <v>158</v>
      </c>
    </row>
    <row r="28" spans="1:11" x14ac:dyDescent="0.25">
      <c r="A28" t="s">
        <v>30</v>
      </c>
      <c r="B28" s="12">
        <v>0.39106956218789918</v>
      </c>
      <c r="C28" s="12">
        <v>9.8400000000000001E-2</v>
      </c>
      <c r="I28" t="s">
        <v>43</v>
      </c>
      <c r="K28" s="65" t="s">
        <v>159</v>
      </c>
    </row>
    <row r="29" spans="1:11" x14ac:dyDescent="0.25">
      <c r="A29" t="s">
        <v>31</v>
      </c>
      <c r="B29" s="12">
        <v>0.47275922671353249</v>
      </c>
      <c r="C29" s="12">
        <v>0.24844370000000002</v>
      </c>
      <c r="I29" t="s">
        <v>44</v>
      </c>
      <c r="K29" s="65" t="s">
        <v>160</v>
      </c>
    </row>
    <row r="30" spans="1:11" x14ac:dyDescent="0.25">
      <c r="A30" t="s">
        <v>32</v>
      </c>
      <c r="B30" s="12">
        <v>0.41279023624546951</v>
      </c>
      <c r="C30" s="12">
        <v>0.13086539999999999</v>
      </c>
      <c r="I30" t="s">
        <v>45</v>
      </c>
      <c r="K30" s="65" t="s">
        <v>161</v>
      </c>
    </row>
    <row r="31" spans="1:11" x14ac:dyDescent="0.25">
      <c r="A31" t="s">
        <v>33</v>
      </c>
      <c r="B31" s="12">
        <v>0.58859126668153006</v>
      </c>
      <c r="C31" s="12">
        <v>0.1042912</v>
      </c>
      <c r="I31" t="s">
        <v>46</v>
      </c>
      <c r="K31" s="65" t="s">
        <v>162</v>
      </c>
    </row>
    <row r="32" spans="1:11" x14ac:dyDescent="0.25">
      <c r="A32" t="s">
        <v>34</v>
      </c>
      <c r="B32" s="12">
        <v>0.18198980555031152</v>
      </c>
      <c r="C32" s="12">
        <v>0.22563</v>
      </c>
      <c r="I32" t="s">
        <v>47</v>
      </c>
      <c r="K32" s="65" t="s">
        <v>163</v>
      </c>
    </row>
    <row r="33" spans="1:11" x14ac:dyDescent="0.25">
      <c r="A33" t="s">
        <v>35</v>
      </c>
      <c r="B33" s="12">
        <v>0.60771515464100878</v>
      </c>
      <c r="C33" s="12">
        <v>0.12873445</v>
      </c>
      <c r="I33" t="s">
        <v>48</v>
      </c>
      <c r="K33" s="65" t="s">
        <v>164</v>
      </c>
    </row>
    <row r="34" spans="1:11" x14ac:dyDescent="0.25">
      <c r="A34" t="s">
        <v>36</v>
      </c>
      <c r="B34" s="12">
        <v>0.20670175889074338</v>
      </c>
      <c r="C34" s="12">
        <v>0.23979455</v>
      </c>
      <c r="I34" t="s">
        <v>49</v>
      </c>
      <c r="K34" s="65" t="s">
        <v>165</v>
      </c>
    </row>
    <row r="35" spans="1:11" x14ac:dyDescent="0.25">
      <c r="A35" t="s">
        <v>37</v>
      </c>
      <c r="B35" s="12">
        <v>0.65289466972711041</v>
      </c>
      <c r="C35" s="12">
        <v>0.12835840000000001</v>
      </c>
      <c r="I35" t="s">
        <v>50</v>
      </c>
      <c r="K35" s="65" t="s">
        <v>166</v>
      </c>
    </row>
    <row r="36" spans="1:11" x14ac:dyDescent="0.25">
      <c r="A36" t="s">
        <v>38</v>
      </c>
      <c r="B36" s="12">
        <v>0.41954522578578946</v>
      </c>
      <c r="C36" s="12">
        <v>0.14916650000000001</v>
      </c>
      <c r="I36" t="s">
        <v>51</v>
      </c>
      <c r="K36" s="65" t="s">
        <v>167</v>
      </c>
    </row>
    <row r="37" spans="1:11" x14ac:dyDescent="0.25">
      <c r="A37" t="s">
        <v>39</v>
      </c>
      <c r="B37" s="12">
        <v>0.42315789473684212</v>
      </c>
      <c r="C37" s="12">
        <v>0.12610210000000002</v>
      </c>
      <c r="I37" t="s">
        <v>52</v>
      </c>
      <c r="K37" s="65" t="s">
        <v>168</v>
      </c>
    </row>
    <row r="38" spans="1:11" x14ac:dyDescent="0.25">
      <c r="A38" t="s">
        <v>40</v>
      </c>
      <c r="B38" s="12">
        <v>0.71042471042471045</v>
      </c>
      <c r="C38" s="12">
        <v>0.12447255</v>
      </c>
      <c r="I38" t="s">
        <v>53</v>
      </c>
      <c r="K38" s="65" t="s">
        <v>169</v>
      </c>
    </row>
    <row r="39" spans="1:11" x14ac:dyDescent="0.25">
      <c r="A39" t="s">
        <v>41</v>
      </c>
      <c r="B39" s="12">
        <v>7.2622867758824525E-2</v>
      </c>
      <c r="C39" s="12">
        <v>0.34533925000000004</v>
      </c>
      <c r="I39" t="s">
        <v>54</v>
      </c>
      <c r="K39" s="65" t="s">
        <v>170</v>
      </c>
    </row>
    <row r="40" spans="1:11" x14ac:dyDescent="0.25">
      <c r="A40" t="s">
        <v>42</v>
      </c>
      <c r="B40" s="12">
        <v>0.36925636406705337</v>
      </c>
      <c r="C40" s="12">
        <v>0.10015465</v>
      </c>
      <c r="I40" t="s">
        <v>55</v>
      </c>
      <c r="K40" s="65" t="s">
        <v>171</v>
      </c>
    </row>
    <row r="41" spans="1:11" x14ac:dyDescent="0.25">
      <c r="A41" t="s">
        <v>43</v>
      </c>
      <c r="B41" s="12">
        <v>0.92155299313052008</v>
      </c>
      <c r="C41" s="12">
        <v>0.12221625000000001</v>
      </c>
      <c r="I41" t="s">
        <v>56</v>
      </c>
      <c r="K41" s="65" t="s">
        <v>172</v>
      </c>
    </row>
    <row r="42" spans="1:11" x14ac:dyDescent="0.25">
      <c r="A42" t="s">
        <v>44</v>
      </c>
      <c r="B42" s="12">
        <v>0.4891141764999169</v>
      </c>
      <c r="C42" s="12">
        <v>0.1243472</v>
      </c>
      <c r="I42" t="s">
        <v>57</v>
      </c>
      <c r="K42" s="65" t="s">
        <v>173</v>
      </c>
    </row>
    <row r="43" spans="1:11" x14ac:dyDescent="0.25">
      <c r="A43" t="s">
        <v>45</v>
      </c>
      <c r="B43" s="12">
        <v>0.45496622220471511</v>
      </c>
      <c r="C43" s="12">
        <v>0.11243895000000001</v>
      </c>
      <c r="I43" t="s">
        <v>58</v>
      </c>
      <c r="K43" s="65" t="s">
        <v>174</v>
      </c>
    </row>
    <row r="44" spans="1:11" x14ac:dyDescent="0.25">
      <c r="A44" t="s">
        <v>46</v>
      </c>
      <c r="B44" s="12">
        <v>0.94062530683236778</v>
      </c>
      <c r="C44" s="12">
        <v>0.13011330000000002</v>
      </c>
      <c r="I44" t="s">
        <v>59</v>
      </c>
      <c r="K44" s="65" t="s">
        <v>175</v>
      </c>
    </row>
    <row r="45" spans="1:11" x14ac:dyDescent="0.25">
      <c r="A45" t="s">
        <v>47</v>
      </c>
      <c r="B45" s="12">
        <v>0.50041283321538088</v>
      </c>
      <c r="C45" s="12">
        <v>0.1075503</v>
      </c>
      <c r="I45" t="s">
        <v>60</v>
      </c>
      <c r="K45" s="65" t="s">
        <v>176</v>
      </c>
    </row>
    <row r="46" spans="1:11" x14ac:dyDescent="0.25">
      <c r="A46" t="s">
        <v>48</v>
      </c>
      <c r="B46" s="12">
        <v>0.12764448646732066</v>
      </c>
      <c r="C46" s="12">
        <v>9.4137850000000009E-2</v>
      </c>
      <c r="I46" t="s">
        <v>61</v>
      </c>
      <c r="K46" s="65" t="s">
        <v>177</v>
      </c>
    </row>
    <row r="47" spans="1:11" x14ac:dyDescent="0.25">
      <c r="A47" t="s">
        <v>49</v>
      </c>
      <c r="B47" s="12">
        <v>0.42841037204058624</v>
      </c>
      <c r="C47" s="12">
        <v>0.16972390000000001</v>
      </c>
      <c r="I47" t="s">
        <v>62</v>
      </c>
      <c r="K47" s="65" t="s">
        <v>178</v>
      </c>
    </row>
    <row r="48" spans="1:11" x14ac:dyDescent="0.25">
      <c r="A48" t="s">
        <v>50</v>
      </c>
      <c r="B48" s="12">
        <v>0.37198488811392039</v>
      </c>
      <c r="C48" s="12">
        <v>0.13976525000000001</v>
      </c>
      <c r="I48" t="s">
        <v>63</v>
      </c>
      <c r="K48" s="65" t="s">
        <v>179</v>
      </c>
    </row>
    <row r="49" spans="1:11" x14ac:dyDescent="0.25">
      <c r="A49" t="s">
        <v>51</v>
      </c>
      <c r="B49" s="12">
        <v>0.51436252389389803</v>
      </c>
      <c r="C49" s="12">
        <v>0.22801165000000001</v>
      </c>
      <c r="I49" t="s">
        <v>64</v>
      </c>
      <c r="K49" s="65" t="s">
        <v>180</v>
      </c>
    </row>
    <row r="50" spans="1:11" x14ac:dyDescent="0.25">
      <c r="A50" t="s">
        <v>52</v>
      </c>
      <c r="B50" s="12">
        <v>0.46003341313446205</v>
      </c>
      <c r="C50" s="12">
        <v>0.15305235000000003</v>
      </c>
      <c r="I50" t="s">
        <v>65</v>
      </c>
      <c r="K50" s="65" t="s">
        <v>181</v>
      </c>
    </row>
    <row r="51" spans="1:11" x14ac:dyDescent="0.25">
      <c r="A51" t="s">
        <v>53</v>
      </c>
      <c r="B51" s="12">
        <v>0.40238496597365297</v>
      </c>
      <c r="C51" s="12">
        <v>0.13249495</v>
      </c>
      <c r="I51" t="s">
        <v>66</v>
      </c>
      <c r="K51" s="65" t="s">
        <v>182</v>
      </c>
    </row>
    <row r="52" spans="1:11" x14ac:dyDescent="0.25">
      <c r="A52" t="s">
        <v>54</v>
      </c>
      <c r="B52" s="12">
        <v>0.8395577364098753</v>
      </c>
      <c r="C52" s="12">
        <v>0.11444455000000002</v>
      </c>
      <c r="I52" t="s">
        <v>67</v>
      </c>
      <c r="K52" s="65" t="s">
        <v>183</v>
      </c>
    </row>
    <row r="53" spans="1:11" x14ac:dyDescent="0.25">
      <c r="A53" t="s">
        <v>55</v>
      </c>
      <c r="B53" s="12">
        <v>0.54565099945975148</v>
      </c>
      <c r="C53" s="12">
        <v>0.12083740000000001</v>
      </c>
      <c r="I53" t="s">
        <v>68</v>
      </c>
      <c r="K53" s="65" t="s">
        <v>184</v>
      </c>
    </row>
    <row r="54" spans="1:11" x14ac:dyDescent="0.25">
      <c r="A54" t="s">
        <v>56</v>
      </c>
      <c r="B54" s="12">
        <v>0.64469836456189755</v>
      </c>
      <c r="C54" s="12">
        <v>0.11444455000000002</v>
      </c>
      <c r="I54" t="s">
        <v>69</v>
      </c>
      <c r="K54" s="65" t="s">
        <v>185</v>
      </c>
    </row>
    <row r="55" spans="1:11" x14ac:dyDescent="0.25">
      <c r="A55" t="s">
        <v>57</v>
      </c>
      <c r="B55" s="12">
        <v>0.35121000820344545</v>
      </c>
      <c r="C55" s="12">
        <v>0.11243895000000001</v>
      </c>
      <c r="I55" t="s">
        <v>70</v>
      </c>
      <c r="K55" s="65" t="s">
        <v>186</v>
      </c>
    </row>
    <row r="56" spans="1:11" x14ac:dyDescent="0.25">
      <c r="A56" t="s">
        <v>58</v>
      </c>
      <c r="B56" s="12">
        <v>0.11487842962302029</v>
      </c>
      <c r="C56" s="12">
        <v>0.20845705</v>
      </c>
      <c r="I56" t="s">
        <v>71</v>
      </c>
      <c r="K56" s="65" t="s">
        <v>187</v>
      </c>
    </row>
    <row r="57" spans="1:11" x14ac:dyDescent="0.25">
      <c r="A57" t="s">
        <v>59</v>
      </c>
      <c r="B57" s="12">
        <v>0.2498022578557561</v>
      </c>
      <c r="C57" s="12">
        <v>0.17085205000000001</v>
      </c>
      <c r="I57" t="s">
        <v>72</v>
      </c>
      <c r="K57" s="65" t="s">
        <v>188</v>
      </c>
    </row>
    <row r="58" spans="1:11" x14ac:dyDescent="0.25">
      <c r="A58" t="s">
        <v>60</v>
      </c>
      <c r="B58" s="12">
        <v>0.52308833176463876</v>
      </c>
      <c r="C58" s="12">
        <v>0.11695155</v>
      </c>
      <c r="I58" t="s">
        <v>73</v>
      </c>
      <c r="K58" s="65" t="s">
        <v>189</v>
      </c>
    </row>
    <row r="59" spans="1:11" x14ac:dyDescent="0.25">
      <c r="A59" t="s">
        <v>61</v>
      </c>
      <c r="B59" s="12">
        <v>0.18929125831190194</v>
      </c>
      <c r="C59" s="12">
        <v>0.18639545000000002</v>
      </c>
      <c r="I59" t="s">
        <v>74</v>
      </c>
      <c r="K59" s="65" t="s">
        <v>190</v>
      </c>
    </row>
    <row r="60" spans="1:11" x14ac:dyDescent="0.25">
      <c r="A60" t="s">
        <v>62</v>
      </c>
      <c r="B60" s="12">
        <v>0.37449471092043923</v>
      </c>
      <c r="C60" s="12">
        <v>0.11820505000000001</v>
      </c>
      <c r="I60" t="s">
        <v>75</v>
      </c>
      <c r="K60" s="65" t="s">
        <v>191</v>
      </c>
    </row>
    <row r="61" spans="1:11" x14ac:dyDescent="0.25">
      <c r="A61" t="s">
        <v>63</v>
      </c>
      <c r="B61" s="12">
        <v>0.73770292306568985</v>
      </c>
      <c r="C61" s="12">
        <v>0.10692354999999999</v>
      </c>
      <c r="I61" t="s">
        <v>76</v>
      </c>
      <c r="K61" s="65" t="s">
        <v>192</v>
      </c>
    </row>
    <row r="62" spans="1:11" x14ac:dyDescent="0.25">
      <c r="A62" t="s">
        <v>64</v>
      </c>
      <c r="B62" s="12">
        <v>0.65147646722881047</v>
      </c>
      <c r="C62" s="12">
        <v>0.1183304</v>
      </c>
      <c r="I62" t="s">
        <v>77</v>
      </c>
      <c r="K62" s="65" t="s">
        <v>193</v>
      </c>
    </row>
    <row r="63" spans="1:11" x14ac:dyDescent="0.25">
      <c r="A63" t="s">
        <v>65</v>
      </c>
      <c r="B63" s="12">
        <v>0.39153414073424503</v>
      </c>
      <c r="C63" s="12">
        <v>9.5642049999999992E-2</v>
      </c>
      <c r="I63" t="s">
        <v>78</v>
      </c>
      <c r="K63" s="65" t="s">
        <v>194</v>
      </c>
    </row>
    <row r="64" spans="1:11" x14ac:dyDescent="0.25">
      <c r="A64" t="s">
        <v>66</v>
      </c>
      <c r="B64" s="12">
        <v>0.1360036354193716</v>
      </c>
      <c r="C64" s="12">
        <v>0.11055870000000001</v>
      </c>
      <c r="I64" t="s">
        <v>79</v>
      </c>
      <c r="K64" s="65" t="s">
        <v>195</v>
      </c>
    </row>
    <row r="65" spans="1:11" x14ac:dyDescent="0.25">
      <c r="A65" t="s">
        <v>67</v>
      </c>
      <c r="B65" s="12">
        <v>0.33118939769268879</v>
      </c>
      <c r="C65" s="12">
        <v>0.12158949999999999</v>
      </c>
      <c r="K65" s="65" t="s">
        <v>196</v>
      </c>
    </row>
    <row r="66" spans="1:11" x14ac:dyDescent="0.25">
      <c r="A66" t="s">
        <v>68</v>
      </c>
      <c r="B66" s="12">
        <v>0.42716154521983324</v>
      </c>
      <c r="C66" s="12">
        <v>0.23239889999999999</v>
      </c>
      <c r="K66" s="65" t="s">
        <v>197</v>
      </c>
    </row>
    <row r="67" spans="1:11" x14ac:dyDescent="0.25">
      <c r="A67" t="s">
        <v>69</v>
      </c>
      <c r="B67" s="12">
        <v>0.29220416738558974</v>
      </c>
      <c r="C67" s="12">
        <v>0.12409650000000001</v>
      </c>
      <c r="K67" s="65" t="s">
        <v>198</v>
      </c>
    </row>
    <row r="68" spans="1:11" x14ac:dyDescent="0.25">
      <c r="A68" t="s">
        <v>70</v>
      </c>
      <c r="B68" s="12">
        <v>0.19870291154960673</v>
      </c>
      <c r="C68" s="12">
        <v>0.12610210000000002</v>
      </c>
      <c r="K68" s="65" t="s">
        <v>199</v>
      </c>
    </row>
    <row r="69" spans="1:11" x14ac:dyDescent="0.25">
      <c r="A69" t="s">
        <v>71</v>
      </c>
      <c r="B69" s="12">
        <v>0.32795536791314839</v>
      </c>
      <c r="C69" s="12">
        <v>0.1193332</v>
      </c>
      <c r="K69" s="65" t="s">
        <v>200</v>
      </c>
    </row>
    <row r="70" spans="1:11" x14ac:dyDescent="0.25">
      <c r="A70" t="s">
        <v>72</v>
      </c>
      <c r="B70" s="12">
        <v>0.46098757327935963</v>
      </c>
      <c r="C70" s="12">
        <v>0.1047926</v>
      </c>
      <c r="K70" s="65" t="s">
        <v>201</v>
      </c>
    </row>
    <row r="71" spans="1:11" x14ac:dyDescent="0.25">
      <c r="A71" t="s">
        <v>73</v>
      </c>
      <c r="B71" s="12">
        <v>0.7435677752680635</v>
      </c>
      <c r="C71" s="12">
        <v>0.10366445000000001</v>
      </c>
      <c r="K71" s="65" t="s">
        <v>202</v>
      </c>
    </row>
    <row r="72" spans="1:11" x14ac:dyDescent="0.25">
      <c r="A72" t="s">
        <v>74</v>
      </c>
      <c r="B72" s="12">
        <v>0</v>
      </c>
      <c r="C72" s="12">
        <v>0.20469654999999998</v>
      </c>
      <c r="K72" s="65" t="s">
        <v>203</v>
      </c>
    </row>
    <row r="73" spans="1:11" x14ac:dyDescent="0.25">
      <c r="A73" t="s">
        <v>75</v>
      </c>
      <c r="B73" s="12">
        <v>0.32565705537126816</v>
      </c>
      <c r="C73" s="12">
        <v>0.11482060000000001</v>
      </c>
      <c r="K73" s="65" t="s">
        <v>204</v>
      </c>
    </row>
    <row r="74" spans="1:11" x14ac:dyDescent="0.25">
      <c r="A74" t="s">
        <v>76</v>
      </c>
      <c r="B74" s="12">
        <v>9.7272718551845203E-2</v>
      </c>
      <c r="C74" s="12">
        <v>0.10441655</v>
      </c>
      <c r="K74" s="65" t="s">
        <v>205</v>
      </c>
    </row>
    <row r="75" spans="1:11" x14ac:dyDescent="0.25">
      <c r="A75" t="s">
        <v>77</v>
      </c>
      <c r="B75" s="12">
        <v>0.97704175242106606</v>
      </c>
      <c r="C75" s="12">
        <v>0.10968124999999999</v>
      </c>
      <c r="K75" s="65" t="s">
        <v>206</v>
      </c>
    </row>
    <row r="76" spans="1:11" x14ac:dyDescent="0.25">
      <c r="A76" t="s">
        <v>78</v>
      </c>
      <c r="B76" s="12">
        <v>0.65451260573211789</v>
      </c>
      <c r="C76" s="12">
        <v>0.13562870000000002</v>
      </c>
      <c r="K76" s="65" t="s">
        <v>207</v>
      </c>
    </row>
    <row r="77" spans="1:11" x14ac:dyDescent="0.25">
      <c r="A77" t="s">
        <v>79</v>
      </c>
      <c r="B77" s="12">
        <v>0.99612821015487163</v>
      </c>
      <c r="C77" s="12">
        <v>0.10366445000000001</v>
      </c>
      <c r="K77" s="65" t="s">
        <v>208</v>
      </c>
    </row>
    <row r="78" spans="1:11" x14ac:dyDescent="0.25">
      <c r="K78" s="65" t="s">
        <v>209</v>
      </c>
    </row>
    <row r="79" spans="1:11" x14ac:dyDescent="0.25">
      <c r="K79" s="65" t="s">
        <v>210</v>
      </c>
    </row>
    <row r="80" spans="1:11" x14ac:dyDescent="0.25">
      <c r="K80" s="65" t="s">
        <v>211</v>
      </c>
    </row>
    <row r="81" spans="11:11" x14ac:dyDescent="0.25">
      <c r="K81" s="65" t="s">
        <v>212</v>
      </c>
    </row>
    <row r="82" spans="11:11" x14ac:dyDescent="0.25">
      <c r="K82" s="65" t="s">
        <v>213</v>
      </c>
    </row>
    <row r="83" spans="11:11" x14ac:dyDescent="0.25">
      <c r="K83" s="65" t="s">
        <v>214</v>
      </c>
    </row>
    <row r="84" spans="11:11" x14ac:dyDescent="0.25">
      <c r="K84" s="65" t="s">
        <v>215</v>
      </c>
    </row>
    <row r="85" spans="11:11" x14ac:dyDescent="0.25">
      <c r="K85" s="65" t="s">
        <v>216</v>
      </c>
    </row>
    <row r="86" spans="11:11" x14ac:dyDescent="0.25">
      <c r="K86" s="65" t="s">
        <v>217</v>
      </c>
    </row>
    <row r="87" spans="11:11" x14ac:dyDescent="0.25">
      <c r="K87" s="65" t="s">
        <v>218</v>
      </c>
    </row>
    <row r="88" spans="11:11" x14ac:dyDescent="0.25">
      <c r="K88" s="65" t="s">
        <v>219</v>
      </c>
    </row>
    <row r="89" spans="11:11" x14ac:dyDescent="0.25">
      <c r="K89" s="65" t="s">
        <v>220</v>
      </c>
    </row>
    <row r="90" spans="11:11" x14ac:dyDescent="0.25">
      <c r="K90" s="65" t="s">
        <v>221</v>
      </c>
    </row>
    <row r="91" spans="11:11" x14ac:dyDescent="0.25">
      <c r="K91" s="65" t="s">
        <v>222</v>
      </c>
    </row>
    <row r="92" spans="11:11" x14ac:dyDescent="0.25">
      <c r="K92" s="65" t="s">
        <v>223</v>
      </c>
    </row>
    <row r="93" spans="11:11" x14ac:dyDescent="0.25">
      <c r="K93" s="65" t="s">
        <v>224</v>
      </c>
    </row>
    <row r="94" spans="11:11" x14ac:dyDescent="0.25">
      <c r="K94" s="65" t="s">
        <v>225</v>
      </c>
    </row>
    <row r="95" spans="11:11" x14ac:dyDescent="0.25">
      <c r="K95" s="65" t="s">
        <v>226</v>
      </c>
    </row>
    <row r="96" spans="11:11" x14ac:dyDescent="0.25">
      <c r="K96" s="65" t="s">
        <v>227</v>
      </c>
    </row>
    <row r="97" spans="11:11" x14ac:dyDescent="0.25">
      <c r="K97" s="65" t="s">
        <v>228</v>
      </c>
    </row>
    <row r="98" spans="11:11" x14ac:dyDescent="0.25">
      <c r="K98" s="65" t="s">
        <v>229</v>
      </c>
    </row>
    <row r="99" spans="11:11" x14ac:dyDescent="0.25">
      <c r="K99" s="65" t="s">
        <v>230</v>
      </c>
    </row>
    <row r="100" spans="11:11" x14ac:dyDescent="0.25">
      <c r="K100" s="65" t="s">
        <v>231</v>
      </c>
    </row>
    <row r="101" spans="11:11" x14ac:dyDescent="0.25">
      <c r="K101" s="65" t="s">
        <v>232</v>
      </c>
    </row>
    <row r="102" spans="11:11" x14ac:dyDescent="0.25">
      <c r="K102" s="65" t="s">
        <v>233</v>
      </c>
    </row>
    <row r="103" spans="11:11" x14ac:dyDescent="0.25">
      <c r="K103" s="65" t="s">
        <v>234</v>
      </c>
    </row>
    <row r="104" spans="11:11" x14ac:dyDescent="0.25">
      <c r="K104" s="65" t="s">
        <v>235</v>
      </c>
    </row>
  </sheetData>
  <sheetProtection password="E5E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44</vt:i4>
      </vt:variant>
    </vt:vector>
  </HeadingPairs>
  <TitlesOfParts>
    <vt:vector size="48" baseType="lpstr">
      <vt:lpstr>Read Me</vt:lpstr>
      <vt:lpstr>Dashboard</vt:lpstr>
      <vt:lpstr>Calculations</vt:lpstr>
      <vt:lpstr>Backhouse</vt:lpstr>
      <vt:lpstr>BulbInfo</vt:lpstr>
      <vt:lpstr>BulbType</vt:lpstr>
      <vt:lpstr>Canada</vt:lpstr>
      <vt:lpstr>Country</vt:lpstr>
      <vt:lpstr>CurrencyConversion</vt:lpstr>
      <vt:lpstr>CurrencyMultiplier</vt:lpstr>
      <vt:lpstr>CurrencySymbol</vt:lpstr>
      <vt:lpstr>CurrencySymbolList</vt:lpstr>
      <vt:lpstr>ElectricityPrice</vt:lpstr>
      <vt:lpstr>EmissionsFactor</vt:lpstr>
      <vt:lpstr>Fluorescent</vt:lpstr>
      <vt:lpstr>FluorescentCost</vt:lpstr>
      <vt:lpstr>FluorescentLife</vt:lpstr>
      <vt:lpstr>GridData</vt:lpstr>
      <vt:lpstr>Halogen</vt:lpstr>
      <vt:lpstr>HalogenCost</vt:lpstr>
      <vt:lpstr>HalogenLife</vt:lpstr>
      <vt:lpstr>Incandescent</vt:lpstr>
      <vt:lpstr>IncandescentCost</vt:lpstr>
      <vt:lpstr>IncandescentLife</vt:lpstr>
      <vt:lpstr>InputCountry</vt:lpstr>
      <vt:lpstr>InputProvince</vt:lpstr>
      <vt:lpstr>InputTable</vt:lpstr>
      <vt:lpstr>LabourCost</vt:lpstr>
      <vt:lpstr>LabourEfficiency</vt:lpstr>
      <vt:lpstr>LED</vt:lpstr>
      <vt:lpstr>LEDCost</vt:lpstr>
      <vt:lpstr>LEDLife</vt:lpstr>
      <vt:lpstr>SelfDefinedCurrencyMultiplier</vt:lpstr>
      <vt:lpstr>SelfDefinedCurrencySymbol</vt:lpstr>
      <vt:lpstr>SelfDefinedElectricityPrice</vt:lpstr>
      <vt:lpstr>SelfDefinedEmissionsFactor</vt:lpstr>
      <vt:lpstr>SelfDefinedFlourescentCost</vt:lpstr>
      <vt:lpstr>SelfDefinedFluorescentLife</vt:lpstr>
      <vt:lpstr>SelfDefinedHalogenCost</vt:lpstr>
      <vt:lpstr>SelfDefinedHalogenLife</vt:lpstr>
      <vt:lpstr>SelfDefinedIncandescentCost</vt:lpstr>
      <vt:lpstr>SelfDefinedIncandescentLife</vt:lpstr>
      <vt:lpstr>SelfDefinedLabourCost</vt:lpstr>
      <vt:lpstr>SelfDefinedLabourEfficiency</vt:lpstr>
      <vt:lpstr>SelfDefinedLEDCost</vt:lpstr>
      <vt:lpstr>SelfDefinedLEDLife</vt:lpstr>
      <vt:lpstr>U.S.</vt:lpstr>
      <vt:lpstr>WattageTable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 Noel</dc:creator>
  <cp:lastModifiedBy>Will Noel</cp:lastModifiedBy>
  <dcterms:created xsi:type="dcterms:W3CDTF">2022-03-16T18:38:23Z</dcterms:created>
  <dcterms:modified xsi:type="dcterms:W3CDTF">2022-04-08T22:11:57Z</dcterms:modified>
</cp:coreProperties>
</file>