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y Drive\GEA\Case Studies Database\Calculator Tools\"/>
    </mc:Choice>
  </mc:AlternateContent>
  <bookViews>
    <workbookView xWindow="0" yWindow="0" windowWidth="22890" windowHeight="9030" activeTab="1"/>
  </bookViews>
  <sheets>
    <sheet name="Read Me" sheetId="4" r:id="rId1"/>
    <sheet name="Dashboard" sheetId="2" r:id="rId2"/>
    <sheet name="Calculations" sheetId="3" state="hidden" r:id="rId3"/>
    <sheet name="Backhouse" sheetId="1" state="hidden" r:id="rId4"/>
  </sheets>
  <definedNames>
    <definedName name="_xlnm._FilterDatabase" localSheetId="3" hidden="1">Backhouse!$A$1:$D$1</definedName>
    <definedName name="Canada">Backhouse!$O$24:$O$36</definedName>
    <definedName name="ChargerInstallCost">Dashboard!$D$57</definedName>
    <definedName name="CheckBoxes">Backhouse!$R$2:$R$6</definedName>
    <definedName name="ClimateData">Backhouse!$A$23:$J$86</definedName>
    <definedName name="Country">Backhouse!$L$24:$L$25</definedName>
    <definedName name="CurrencyMultiplier">Dashboard!$D$26</definedName>
    <definedName name="CurrencySelection">Backhouse!$L$24:$N$25</definedName>
    <definedName name="CurrencySymbol">Dashboard!$D$27</definedName>
    <definedName name="CurrencySymbolList">Backhouse!$R$24:$R$113</definedName>
    <definedName name="DieselEmissions">Dashboard!$D$24</definedName>
    <definedName name="DieselPrice">Dashboard!$D$23</definedName>
    <definedName name="DownPayment">Dashboard!$D$32</definedName>
    <definedName name="DrivingDistance">Dashboard!$D$35</definedName>
    <definedName name="ElectricalUpgradeCost">Backhouse!$Q$2:$Q$6</definedName>
    <definedName name="ElectricityEmissions">Dashboard!$D$20</definedName>
    <definedName name="ElectricityPrice">Dashboard!$D$19</definedName>
    <definedName name="EnergyData">Backhouse!$A$23:$F$86</definedName>
    <definedName name="EnergyInFuel">Backhouse!$M$11:$N$12</definedName>
    <definedName name="EVEconomy">Dashboard!$D$42</definedName>
    <definedName name="EVList">Backhouse!$A$2:$A$20</definedName>
    <definedName name="EVMaintenance">Dashboard!$D$50</definedName>
    <definedName name="EVMakeModel">Dashboard!$D$40</definedName>
    <definedName name="EVManufacturingEmissions">Dashboard!$D$53</definedName>
    <definedName name="EVPrice">Dashboard!$D$41</definedName>
    <definedName name="EVRangevsTemp">Backhouse!$M$2:$N$8</definedName>
    <definedName name="EVSubsidy">Dashboard!$D$29</definedName>
    <definedName name="EVTable">Backhouse!$A$1:$D$20</definedName>
    <definedName name="FallTemp">Dashboard!$D$16</definedName>
    <definedName name="Fluorescent">Backhouse!#REF!</definedName>
    <definedName name="GasolineEmissions">Dashboard!$D$22</definedName>
    <definedName name="GasolinePrice">Dashboard!$D$21</definedName>
    <definedName name="Halogen">Backhouse!#REF!</definedName>
    <definedName name="HighwayDistance">Dashboard!$D$36</definedName>
    <definedName name="ICEVEconomy">Dashboard!$D$46</definedName>
    <definedName name="ICEVFuelType">Dashboard!$D$47</definedName>
    <definedName name="ICEVList">Backhouse!$G$2:$G$20</definedName>
    <definedName name="ICEVMaintenance">Dashboard!$D$51</definedName>
    <definedName name="ICEVMakeModel">Dashboard!$D$44</definedName>
    <definedName name="ICEVManufacturingEmissions">Dashboard!$D$54</definedName>
    <definedName name="ICEVPrice">Dashboard!$D$45</definedName>
    <definedName name="ICEVTable">Backhouse!$G$1:$K$20</definedName>
    <definedName name="InputCountry">Dashboard!$D$9</definedName>
    <definedName name="InputProvince">Dashboard!$D$10</definedName>
    <definedName name="InterestRate">Dashboard!$D$31</definedName>
    <definedName name="LengthofOwnership">Dashboard!$D$37</definedName>
    <definedName name="LoanTerm">Dashboard!$D$30</definedName>
    <definedName name="SalesTax">Dashboard!$D$28</definedName>
    <definedName name="SelfDefinedChargerInstallCost">Dashboard!$F$57</definedName>
    <definedName name="SelfDefinedCurrencyMultiplier">Dashboard!$F$26</definedName>
    <definedName name="SelfDefinedCurrencySymbol">Dashboard!$F$27</definedName>
    <definedName name="SelfDefinedDieselEmissions">Dashboard!$F$24</definedName>
    <definedName name="SelfDefinedDieselPrice">Dashboard!$F$23</definedName>
    <definedName name="SelfDefinedDownPayment">Dashboard!$F$32</definedName>
    <definedName name="SelfDefinedDrivingDistance">Dashboard!$F$35</definedName>
    <definedName name="SelfDefinedElectricityEmissions">Dashboard!$F$20</definedName>
    <definedName name="SelfDefinedElectricityPrice">Dashboard!$F$19</definedName>
    <definedName name="SelfDefinedEVEconomy">Dashboard!$F$42</definedName>
    <definedName name="SelfDefinedEVMaintenance">Dashboard!$F$50</definedName>
    <definedName name="SelfDefinedEVMakeModel">Dashboard!$F$40</definedName>
    <definedName name="SelfDefinedEVManufacturingEmissions">Dashboard!$F$53</definedName>
    <definedName name="SelfDefinedEVPrice">Dashboard!$F$41</definedName>
    <definedName name="SelfDefinedEVSubsidy">Dashboard!$F$29</definedName>
    <definedName name="SelfDefinedFallTemp">Dashboard!$F$16</definedName>
    <definedName name="SelfDefinedGasolineEmissions">Dashboard!$F$22</definedName>
    <definedName name="SelfDefinedGasolinePrice">Dashboard!$F$21</definedName>
    <definedName name="SelfDefinedHighwayDistance">Dashboard!$F$36</definedName>
    <definedName name="SelfDefinedICEVEconomy">Dashboard!$F$46</definedName>
    <definedName name="SelfDefinedICEVFuelType">Dashboard!$F$47</definedName>
    <definedName name="SelfDefinedICEVMaintenance">Dashboard!$F$51</definedName>
    <definedName name="SelfDefinedICEVMakeModel">Dashboard!$F$44</definedName>
    <definedName name="SelfDefinedICEVManufacturingEmissions">Dashboard!$F$54</definedName>
    <definedName name="SelfDefinedICEVPrice">Dashboard!$F$45</definedName>
    <definedName name="SelfDefinedInterestRate">Dashboard!$F$31</definedName>
    <definedName name="SelfDefinedLengthofOwnership">Dashboard!$F$37</definedName>
    <definedName name="SelfDefinedLoanTerm">Dashboard!$F$30</definedName>
    <definedName name="SelfDefinedSalesTax">Dashboard!$F$28</definedName>
    <definedName name="SelfDefinedSpringTemp">Dashboard!$F$14</definedName>
    <definedName name="SelfDefinedSummerTemp">Dashboard!$F$15</definedName>
    <definedName name="SelfDefinedWinterTemp">Dashboard!$F$13</definedName>
    <definedName name="SpringTemp">Dashboard!$D$14</definedName>
    <definedName name="SummerTemp">Dashboard!$D$15</definedName>
    <definedName name="Temp">Backhouse!$M$2:$M$8</definedName>
    <definedName name="U.S.">Backhouse!$P$24:$P$73</definedName>
    <definedName name="WinterTemp">Dashboard!$D$13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2" l="1"/>
  <c r="D46" i="2"/>
  <c r="D47" i="2"/>
  <c r="D28" i="2"/>
  <c r="C7" i="3" s="1"/>
  <c r="D16" i="2" l="1"/>
  <c r="D15" i="2"/>
  <c r="D14" i="2"/>
  <c r="D13" i="2"/>
  <c r="N12" i="1" l="1"/>
  <c r="C6" i="3"/>
  <c r="D26" i="2"/>
  <c r="D27" i="2"/>
  <c r="C4" i="3" s="1"/>
  <c r="A44" i="3" s="1"/>
  <c r="D71" i="2" l="1"/>
  <c r="D73" i="2"/>
  <c r="D76" i="2"/>
  <c r="D69" i="2"/>
  <c r="D75" i="2"/>
  <c r="D70" i="2"/>
  <c r="D74" i="2"/>
  <c r="C33" i="3" l="1"/>
  <c r="C23" i="3"/>
  <c r="C36" i="3"/>
  <c r="C27" i="3"/>
  <c r="C29" i="3"/>
  <c r="C19" i="3"/>
  <c r="C10" i="3" l="1"/>
  <c r="C9" i="3"/>
  <c r="C8" i="3"/>
  <c r="A39" i="3" l="1"/>
  <c r="D57" i="2"/>
  <c r="C21" i="3" s="1"/>
  <c r="G17" i="3" l="1"/>
  <c r="G51" i="3"/>
  <c r="F82" i="2" s="1"/>
  <c r="C17" i="3" l="1"/>
  <c r="C5" i="3"/>
  <c r="A38" i="3" s="1"/>
  <c r="A41" i="3" l="1"/>
  <c r="A40" i="3"/>
  <c r="F58" i="3"/>
  <c r="F48" i="3"/>
  <c r="F49" i="3"/>
  <c r="F45" i="3"/>
  <c r="F57" i="3"/>
  <c r="F47" i="3"/>
  <c r="F59" i="3"/>
  <c r="F56" i="3"/>
  <c r="F46" i="3"/>
  <c r="F15" i="3"/>
  <c r="F13" i="3"/>
  <c r="F21" i="3"/>
  <c r="F20" i="3"/>
  <c r="F14" i="3"/>
  <c r="C15" i="3"/>
  <c r="K25" i="3" s="1"/>
  <c r="C14" i="3"/>
  <c r="J25" i="3" s="1"/>
  <c r="C13" i="3"/>
  <c r="I25" i="3" s="1"/>
  <c r="C12" i="3"/>
  <c r="H25" i="3" s="1"/>
  <c r="H24" i="3" l="1"/>
  <c r="H26" i="3"/>
  <c r="J26" i="3"/>
  <c r="J24" i="3"/>
  <c r="K26" i="3"/>
  <c r="K24" i="3"/>
  <c r="I26" i="3"/>
  <c r="I24" i="3"/>
  <c r="G25" i="3"/>
  <c r="C31" i="3"/>
  <c r="A42" i="3" s="1"/>
  <c r="C35" i="3"/>
  <c r="C30" i="3"/>
  <c r="D42" i="2"/>
  <c r="C25" i="3" s="1"/>
  <c r="D41" i="2"/>
  <c r="C20" i="3" s="1"/>
  <c r="C3" i="3"/>
  <c r="G3" i="3" l="1"/>
  <c r="G4" i="3" s="1"/>
  <c r="G5" i="3" s="1"/>
  <c r="G31" i="3"/>
  <c r="F66" i="2"/>
  <c r="G37" i="3"/>
  <c r="G28" i="3"/>
  <c r="F61" i="3"/>
  <c r="F63" i="3" s="1"/>
  <c r="G23" i="3"/>
  <c r="F69" i="3" s="1"/>
  <c r="E18" i="3"/>
  <c r="B66" i="2" s="1"/>
  <c r="B84" i="2" s="1"/>
  <c r="G36" i="3"/>
  <c r="F70" i="2" s="1"/>
  <c r="J27" i="3"/>
  <c r="K27" i="3"/>
  <c r="I27" i="3"/>
  <c r="G26" i="3"/>
  <c r="H27" i="3"/>
  <c r="G9" i="3"/>
  <c r="G41" i="3"/>
  <c r="G48" i="3" s="1"/>
  <c r="D23" i="2"/>
  <c r="D21" i="2"/>
  <c r="D19" i="2"/>
  <c r="C22" i="3" s="1"/>
  <c r="G39" i="3" s="1"/>
  <c r="G6" i="3" l="1"/>
  <c r="G7" i="3" s="1"/>
  <c r="G11" i="3" s="1"/>
  <c r="G12" i="3" s="1"/>
  <c r="G32" i="3"/>
  <c r="K28" i="3"/>
  <c r="K29" i="3" s="1"/>
  <c r="F62" i="3"/>
  <c r="F70" i="3" s="1"/>
  <c r="H38" i="3"/>
  <c r="G27" i="3"/>
  <c r="F65" i="2" s="1"/>
  <c r="F67" i="2" s="1"/>
  <c r="G14" i="3"/>
  <c r="F75" i="2"/>
  <c r="C32" i="3"/>
  <c r="G8" i="3" s="1"/>
  <c r="C34" i="3"/>
  <c r="G18" i="3" s="1"/>
  <c r="F84" i="2" s="1"/>
  <c r="E8" i="3"/>
  <c r="H39" i="3"/>
  <c r="J38" i="3"/>
  <c r="J39" i="3" s="1"/>
  <c r="I38" i="3"/>
  <c r="I39" i="3" s="1"/>
  <c r="I40" i="3" s="1"/>
  <c r="J28" i="3"/>
  <c r="J29" i="3" s="1"/>
  <c r="I28" i="3"/>
  <c r="I29" i="3" s="1"/>
  <c r="H28" i="3"/>
  <c r="H29" i="3" s="1"/>
  <c r="K38" i="3"/>
  <c r="G46" i="3"/>
  <c r="D20" i="2"/>
  <c r="C24" i="3" s="1"/>
  <c r="G53" i="3" s="1"/>
  <c r="G57" i="3" s="1"/>
  <c r="G33" i="3" l="1"/>
  <c r="G20" i="3"/>
  <c r="G21" i="3" s="1"/>
  <c r="F67" i="3" s="1"/>
  <c r="G13" i="3"/>
  <c r="F74" i="2"/>
  <c r="G38" i="3"/>
  <c r="F73" i="2" s="1"/>
  <c r="H40" i="3"/>
  <c r="J40" i="3"/>
  <c r="K39" i="3"/>
  <c r="K40" i="3" s="1"/>
  <c r="G29" i="3"/>
  <c r="G52" i="3"/>
  <c r="F83" i="2" s="1"/>
  <c r="G34" i="3" l="1"/>
  <c r="G35" i="3" s="1"/>
  <c r="G43" i="3" s="1"/>
  <c r="G44" i="3" s="1"/>
  <c r="G19" i="3"/>
  <c r="F76" i="2"/>
  <c r="G45" i="3"/>
  <c r="G15" i="3"/>
  <c r="G10" i="3" s="1"/>
  <c r="G40" i="3"/>
  <c r="G47" i="3" s="1"/>
  <c r="G56" i="3"/>
  <c r="G59" i="3" s="1"/>
  <c r="F68" i="3" s="1"/>
  <c r="G54" i="3"/>
  <c r="G58" i="3" s="1"/>
  <c r="F69" i="2" l="1"/>
  <c r="F71" i="2" s="1"/>
  <c r="F78" i="2" s="1"/>
  <c r="G49" i="3"/>
  <c r="F66" i="3" s="1"/>
  <c r="F65" i="3"/>
  <c r="G55" i="3"/>
  <c r="F85" i="2" s="1"/>
  <c r="F86" i="2" s="1"/>
  <c r="F79" i="2" l="1"/>
  <c r="F80" i="2" s="1"/>
  <c r="G42" i="3"/>
</calcChain>
</file>

<file path=xl/sharedStrings.xml><?xml version="1.0" encoding="utf-8"?>
<sst xmlns="http://schemas.openxmlformats.org/spreadsheetml/2006/main" count="658" uniqueCount="437">
  <si>
    <t>Consumption Emissions (kgCO2e/kWh)</t>
  </si>
  <si>
    <t>Alberta</t>
  </si>
  <si>
    <t>British Columbia</t>
  </si>
  <si>
    <t>Manitoba</t>
  </si>
  <si>
    <t>New Brunswick</t>
  </si>
  <si>
    <t>Newfoundland and Labrador</t>
  </si>
  <si>
    <t>Nova Scotia</t>
  </si>
  <si>
    <t>Ontario</t>
  </si>
  <si>
    <t>Prince Edward Island</t>
  </si>
  <si>
    <t>Quebec</t>
  </si>
  <si>
    <t>Saskatchewan</t>
  </si>
  <si>
    <t>Northwest Territories</t>
  </si>
  <si>
    <t>Nunavut</t>
  </si>
  <si>
    <t>Yukon</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</si>
  <si>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</si>
  <si>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</si>
  <si>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</si>
  <si>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</si>
  <si>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</si>
  <si>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</si>
  <si>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</si>
  <si>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</si>
  <si>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</si>
  <si>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</si>
  <si>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</si>
  <si>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</si>
  <si>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</si>
  <si>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</si>
  <si>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</si>
  <si>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</si>
  <si>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</si>
  <si>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</si>
  <si>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</si>
  <si>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</si>
  <si>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</si>
  <si>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</si>
  <si>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</si>
  <si>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</si>
  <si>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</si>
  <si>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</si>
  <si>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</si>
  <si>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</si>
  <si>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</si>
  <si>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</si>
  <si>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</si>
  <si>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</si>
  <si>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</si>
  <si>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</si>
  <si>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</si>
  <si>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</si>
  <si>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</si>
  <si>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</si>
  <si>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</si>
  <si>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</si>
  <si>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</si>
  <si>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</si>
  <si>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</si>
  <si>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</si>
  <si>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</si>
  <si>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</si>
  <si>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</si>
  <si>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</si>
  <si>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</si>
  <si>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</si>
  <si>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Country</t>
  </si>
  <si>
    <t>Province/State</t>
  </si>
  <si>
    <t>Canada</t>
  </si>
  <si>
    <t>U.S.</t>
  </si>
  <si>
    <t>Electricity Price ($/kWh)</t>
  </si>
  <si>
    <t>Grid Emissions Factor</t>
  </si>
  <si>
    <t>kgCO2e/kWh</t>
  </si>
  <si>
    <t>OR</t>
  </si>
  <si>
    <t>Enter your Own</t>
  </si>
  <si>
    <t>Calculator Description</t>
  </si>
  <si>
    <t>Data Sources</t>
  </si>
  <si>
    <t xml:space="preserve">   - Canadian residential electricity prices (Rylan Urban, energyhub.org)</t>
  </si>
  <si>
    <t xml:space="preserve">   - Canadian electrical grid intensity factors (Environment and Climate Change Canada)</t>
  </si>
  <si>
    <t xml:space="preserve">   - U.S. residential electricity prices (U.S. Energy Information Administration)</t>
  </si>
  <si>
    <t xml:space="preserve">   - U.S. electrical grid intensity factors (U.S. Energy Information Administration)</t>
  </si>
  <si>
    <t>Using the Calculator</t>
  </si>
  <si>
    <t>Example Entry</t>
  </si>
  <si>
    <t>The user-input forms, and the resulting output for this example are shown below.</t>
  </si>
  <si>
    <t xml:space="preserve">  Q1. I can't change my country because the drop-down list won't pop up.</t>
  </si>
  <si>
    <t>FAQs &amp; Common Issues</t>
  </si>
  <si>
    <r>
      <t xml:space="preserve">  A1. Make sure you delete your entry in the </t>
    </r>
    <r>
      <rPr>
        <i/>
        <sz val="10"/>
        <color theme="1"/>
        <rFont val="Segoe UI"/>
        <family val="2"/>
      </rPr>
      <t xml:space="preserve">Province/State </t>
    </r>
    <r>
      <rPr>
        <sz val="10"/>
        <color theme="1"/>
        <rFont val="Segoe UI"/>
        <family val="2"/>
      </rPr>
      <t>row before changing your country. The drop-down lists for these entries are linked, and must be filled out in a specific order (country, then province/state)</t>
    </r>
  </si>
  <si>
    <t>Avoided Electricity Cost</t>
  </si>
  <si>
    <t>2021 Average</t>
  </si>
  <si>
    <t>No Data</t>
  </si>
  <si>
    <t>Gasoline Price ($/L)</t>
  </si>
  <si>
    <t>Diesel Price ($/L)</t>
  </si>
  <si>
    <t xml:space="preserve">   - Canadian gasoline and diesel prices (Statistics Canada)</t>
  </si>
  <si>
    <t xml:space="preserve">   - U.S. gasoline and diesel prices (U.S. Energy Information Administration)</t>
  </si>
  <si>
    <t>The electric vehilce cost and emissions calculator was developed by Greenplanet Energy Analytics (GEA) to help users quantify the potential cost and emissions savings that can be achieved by purchasing an electric vehicle (EV), rather than a gas- or diesel-powered internal combustion engine vehicle (ICEV).</t>
  </si>
  <si>
    <t>Gasoline Emissions Factor</t>
  </si>
  <si>
    <t>Gasoline Cost</t>
  </si>
  <si>
    <t>Diesel Cost</t>
  </si>
  <si>
    <t>Diesel Emissions Factor</t>
  </si>
  <si>
    <t>kgCO2e/L</t>
  </si>
  <si>
    <t>Location Information</t>
  </si>
  <si>
    <t>Energy Data</t>
  </si>
  <si>
    <t>Electric Vehicle Data</t>
  </si>
  <si>
    <t>Electric Vehicle</t>
  </si>
  <si>
    <t>Fuel Economy</t>
  </si>
  <si>
    <t>Tesla Model 3</t>
  </si>
  <si>
    <t>Polestar 2</t>
  </si>
  <si>
    <t xml:space="preserve">Mini Cooper SE </t>
  </si>
  <si>
    <t>Nissan Leaf SV</t>
  </si>
  <si>
    <t>Chevy Bolt EV</t>
  </si>
  <si>
    <t>Tesla Model S</t>
  </si>
  <si>
    <t>BMW i3</t>
  </si>
  <si>
    <t>Tesla Model X</t>
  </si>
  <si>
    <t>Tesla Model Y</t>
  </si>
  <si>
    <t>Kia Niro</t>
  </si>
  <si>
    <t>Kia Niro EV</t>
  </si>
  <si>
    <t>Hyundai Ioniq</t>
  </si>
  <si>
    <t>Ford Mustang Mach-E</t>
  </si>
  <si>
    <t>Porsche Taycan 4S</t>
  </si>
  <si>
    <t>Volvo XC40 Recharge</t>
  </si>
  <si>
    <t>Volkswagen ID.4</t>
  </si>
  <si>
    <t>Kia Soul EV</t>
  </si>
  <si>
    <t>Hyundai Kona Electric</t>
  </si>
  <si>
    <t>Audi e-tron</t>
  </si>
  <si>
    <t>MSRP (CAD)</t>
  </si>
  <si>
    <t>Annual Distance Driven</t>
  </si>
  <si>
    <t>km/year</t>
  </si>
  <si>
    <t>Driver Data</t>
  </si>
  <si>
    <t>-</t>
  </si>
  <si>
    <t>Hyundai Ioniq Electric</t>
  </si>
  <si>
    <t>Highway Economy (kWh/100km)</t>
  </si>
  <si>
    <t>City Economy (kWh/100 km)</t>
  </si>
  <si>
    <t>Ford F-150 Lightning</t>
  </si>
  <si>
    <t>Internal Combustion Vehicle</t>
  </si>
  <si>
    <t>Highway Economy (L/100km)</t>
  </si>
  <si>
    <t>City Economy (L/100 km)</t>
  </si>
  <si>
    <t>Audi Q5</t>
  </si>
  <si>
    <t>BMW 228i Coupe</t>
  </si>
  <si>
    <t>Chevy Spark</t>
  </si>
  <si>
    <t>Ford F-150</t>
  </si>
  <si>
    <t>Ford Mustang</t>
  </si>
  <si>
    <t>Fuel Type</t>
  </si>
  <si>
    <t>Gasoline</t>
  </si>
  <si>
    <t>Hyundai Kona</t>
  </si>
  <si>
    <t>Kia Soul</t>
  </si>
  <si>
    <t>Mini Cooper 3-door</t>
  </si>
  <si>
    <t>Nissan Versa</t>
  </si>
  <si>
    <t>Porche 718 Boxter</t>
  </si>
  <si>
    <t>Dodge Challenger</t>
  </si>
  <si>
    <t>Chrystler 300</t>
  </si>
  <si>
    <t>GMC Sierra 1500</t>
  </si>
  <si>
    <t>Diesel</t>
  </si>
  <si>
    <t>Ram 1500 EcoDiesel</t>
  </si>
  <si>
    <t>Volkswagen Golf</t>
  </si>
  <si>
    <t>Volvo S60</t>
  </si>
  <si>
    <t>Vehicle Make/Model</t>
  </si>
  <si>
    <t>NRCan Estimate</t>
  </si>
  <si>
    <t>2021 Models</t>
  </si>
  <si>
    <t>Vehicle Price</t>
  </si>
  <si>
    <t>Distance Driven on Highway</t>
  </si>
  <si>
    <t>kWh/100 km</t>
  </si>
  <si>
    <t>$CAD/kWh</t>
  </si>
  <si>
    <t>$CAD/L</t>
  </si>
  <si>
    <t>Currency Conversion to $CAD</t>
  </si>
  <si>
    <t>$CAD</t>
  </si>
  <si>
    <t>multiplier</t>
  </si>
  <si>
    <t>% of total</t>
  </si>
  <si>
    <t>Internal Combustion Vehicle Data</t>
  </si>
  <si>
    <t>L/100 km</t>
  </si>
  <si>
    <t>Location</t>
  </si>
  <si>
    <t>Average Winter Temp (degC)</t>
  </si>
  <si>
    <t>Average Spring Temp (degC)</t>
  </si>
  <si>
    <t>Average Summer Temp (degC)</t>
  </si>
  <si>
    <t>Average Fall Temp (degC)</t>
  </si>
  <si>
    <t>Mean Winter Temperature</t>
  </si>
  <si>
    <t>Mean Spring Temperature</t>
  </si>
  <si>
    <t>Mean Summer Temperature</t>
  </si>
  <si>
    <t>Mean Fall Temperature</t>
  </si>
  <si>
    <t>Historic Average</t>
  </si>
  <si>
    <r>
      <rPr>
        <i/>
        <sz val="9"/>
        <color theme="2" tint="-0.749992370372631"/>
        <rFont val="Calibri"/>
        <family val="2"/>
      </rPr>
      <t>°</t>
    </r>
    <r>
      <rPr>
        <i/>
        <sz val="9"/>
        <color theme="2" tint="-0.749992370372631"/>
        <rFont val="Segoe UI"/>
        <family val="2"/>
      </rPr>
      <t>C</t>
    </r>
  </si>
  <si>
    <t>Currency Multiplier</t>
  </si>
  <si>
    <t>Temp</t>
  </si>
  <si>
    <t>Range</t>
  </si>
  <si>
    <t>$CAD/100 km</t>
  </si>
  <si>
    <t>Maintenance Data</t>
  </si>
  <si>
    <t>Electric Vehicle Maintenance</t>
  </si>
  <si>
    <t>Internal Combustion Vehicle Maintenacne</t>
  </si>
  <si>
    <t>GEA Estimate</t>
  </si>
  <si>
    <t>years</t>
  </si>
  <si>
    <t>Length of Vehicle Ownership</t>
  </si>
  <si>
    <t>Relevant Inputs &amp; Constants</t>
  </si>
  <si>
    <t>Project length</t>
  </si>
  <si>
    <t>Sales Tax</t>
  </si>
  <si>
    <t>EV Cost</t>
  </si>
  <si>
    <t>ICEV Cost</t>
  </si>
  <si>
    <t>EV Fuel Economy</t>
  </si>
  <si>
    <t>ICEV Fuel Economy</t>
  </si>
  <si>
    <t>EV Charging Efficiency</t>
  </si>
  <si>
    <t>ICEV Fuel Type</t>
  </si>
  <si>
    <t>Temperature</t>
  </si>
  <si>
    <t>ICEV Fuel Cost</t>
  </si>
  <si>
    <t>Electricity Cost</t>
  </si>
  <si>
    <t>Economic Data</t>
  </si>
  <si>
    <t>Electricity Emissions</t>
  </si>
  <si>
    <t>ICEV Fuel Emissions</t>
  </si>
  <si>
    <t>%</t>
  </si>
  <si>
    <t>kWh/100km</t>
  </si>
  <si>
    <t>$/kWh</t>
  </si>
  <si>
    <t>$</t>
  </si>
  <si>
    <t>Winter</t>
  </si>
  <si>
    <t>Spring</t>
  </si>
  <si>
    <t>Summer</t>
  </si>
  <si>
    <t>Fall</t>
  </si>
  <si>
    <t>degC</t>
  </si>
  <si>
    <t>$/L</t>
  </si>
  <si>
    <t>selection</t>
  </si>
  <si>
    <t>L/100km</t>
  </si>
  <si>
    <t>EV Maintenance Cost</t>
  </si>
  <si>
    <t>$/100km</t>
  </si>
  <si>
    <t>ICEV Maintenance Cost</t>
  </si>
  <si>
    <t>Annual Distance</t>
  </si>
  <si>
    <t>km/yr</t>
  </si>
  <si>
    <t>Plot Titles</t>
  </si>
  <si>
    <t>ICEV Calculations</t>
  </si>
  <si>
    <t>$/yr</t>
  </si>
  <si>
    <t>Maintenance Cost</t>
  </si>
  <si>
    <t>Cost</t>
  </si>
  <si>
    <t>Total Cost</t>
  </si>
  <si>
    <t>Equivalent Annual Cost</t>
  </si>
  <si>
    <t>Emissions</t>
  </si>
  <si>
    <t>ICEV Manufacturing Emissions</t>
  </si>
  <si>
    <t>Weather Information</t>
  </si>
  <si>
    <t>Manufacturing Emissions Data</t>
  </si>
  <si>
    <t>Electric Vehicle Manufacturing Emissions</t>
  </si>
  <si>
    <t>Internal Combustion Manufacturing Emissions</t>
  </si>
  <si>
    <t>kgCO2e</t>
  </si>
  <si>
    <t>EV Manufacturing Emissions</t>
  </si>
  <si>
    <t>Manufacturing Emissions</t>
  </si>
  <si>
    <t>Operating Emissions</t>
  </si>
  <si>
    <t>kgCO2e/yr</t>
  </si>
  <si>
    <t>Total Emissions</t>
  </si>
  <si>
    <t>Equivalent Annual Emissions</t>
  </si>
  <si>
    <t>Annual</t>
  </si>
  <si>
    <t>EV Calculations</t>
  </si>
  <si>
    <t>Range Due to Temp</t>
  </si>
  <si>
    <t>Electricity Required</t>
  </si>
  <si>
    <t>kWh/yr</t>
  </si>
  <si>
    <t>Propulsion Emissions</t>
  </si>
  <si>
    <t>Heating Emissions</t>
  </si>
  <si>
    <t>text</t>
  </si>
  <si>
    <t>ICEV Make/Model</t>
  </si>
  <si>
    <t>EV Make/Model</t>
  </si>
  <si>
    <t>Total Fuel Cost</t>
  </si>
  <si>
    <t>Total Maintenance Cost</t>
  </si>
  <si>
    <t>Total Operating Emissions</t>
  </si>
  <si>
    <t>Total Electricity Cost</t>
  </si>
  <si>
    <t>Total Propulsion Cost</t>
  </si>
  <si>
    <t>Total Heating Cost</t>
  </si>
  <si>
    <t>Total Propulsion Emissions</t>
  </si>
  <si>
    <t>Total Heating Emissions</t>
  </si>
  <si>
    <t>Vehicle Purchase</t>
  </si>
  <si>
    <t>Electricity</t>
  </si>
  <si>
    <t>Maintenance</t>
  </si>
  <si>
    <t>Manufacturing</t>
  </si>
  <si>
    <t xml:space="preserve">Propulsion </t>
  </si>
  <si>
    <t>Heating</t>
  </si>
  <si>
    <t>Totals Comparison</t>
  </si>
  <si>
    <t>ICEV Emissions</t>
  </si>
  <si>
    <t>EV Emissions</t>
  </si>
  <si>
    <t>Propulsion</t>
  </si>
  <si>
    <t>Average Temperature</t>
  </si>
  <si>
    <t>Toyota Corolla</t>
  </si>
  <si>
    <t xml:space="preserve">  Q2. What is a grid-emissions factor?</t>
  </si>
  <si>
    <t xml:space="preserve">  A2. A grid-emissions factor quantifies the average greenhouse gas (GHG) emissions, in units kilograms of carbon dioxide-equivalent, per amount of electricity consumed, in units of kilowatt-hours. For example, a province that has a 
          grid-emissions factor of 0.500 kgCO2e/kWh will emit half a kilogram of carbon dioxide for every kilowatt-hour of electricity consumed. Electricity systems with more renewable energy sources will have a lower grid-emissions factor
          than systems that rely more on fossil fuels.</t>
  </si>
  <si>
    <t xml:space="preserve">  Q3. How do I proceed if my country or province/state isn't available from the drop-down lists?</t>
  </si>
  <si>
    <r>
      <t xml:space="preserve">  A3. The </t>
    </r>
    <r>
      <rPr>
        <i/>
        <sz val="10"/>
        <color theme="1"/>
        <rFont val="Segoe UI"/>
        <family val="2"/>
      </rPr>
      <t>Country</t>
    </r>
    <r>
      <rPr>
        <sz val="10"/>
        <color theme="1"/>
        <rFont val="Segoe UI"/>
        <family val="2"/>
      </rPr>
      <t xml:space="preserve"> and </t>
    </r>
    <r>
      <rPr>
        <i/>
        <sz val="10"/>
        <color theme="1"/>
        <rFont val="Segoe UI"/>
        <family val="2"/>
      </rPr>
      <t>Province/State</t>
    </r>
    <r>
      <rPr>
        <sz val="10"/>
        <color theme="1"/>
        <rFont val="Segoe UI"/>
        <family val="2"/>
      </rPr>
      <t xml:space="preserve"> entries are optional, and provide an average cost and grid-emission factors for the selected location. For locations that are not available in the calculators database, users are able to define their own electricity
        cost, fuel cost, grid emissions factors, etc. Users that do not know the grid-emissions factor for their location, can use the following equation to make a rough estimation:
        Grid-emissions factor </t>
    </r>
    <r>
      <rPr>
        <sz val="10"/>
        <color theme="1"/>
        <rFont val="Calibri"/>
        <family val="2"/>
      </rPr>
      <t>≈</t>
    </r>
    <r>
      <rPr>
        <sz val="10"/>
        <color theme="1"/>
        <rFont val="Segoe UI"/>
        <family val="2"/>
      </rPr>
      <t xml:space="preserve"> (% of electricity produced by natural gas)*(0.413 kgCO2e/kWh) + (% of electricity produced by coal)*(1.01 kgCO2e/kWh) + (% of electricity produced by petroleum)*(0.966 kgCO2e/kWh)
        For example, in 2018, Alberta's electricity generation came from 49% natural gas, 43% coal, and 0.1% petroleum. Using the above equation, Alberta's emission factor for that year can be approximated as: 
        AB emissions factor </t>
    </r>
    <r>
      <rPr>
        <sz val="10"/>
        <color theme="1"/>
        <rFont val="Calibri"/>
        <family val="2"/>
      </rPr>
      <t>≈</t>
    </r>
    <r>
      <rPr>
        <sz val="10"/>
        <color theme="1"/>
        <rFont val="Segoe UI"/>
        <family val="2"/>
      </rPr>
      <t xml:space="preserve"> (49% natural gas)*(0.413 kgCO2e/kWh) + (43% coal)*(1.01 CO2e/kWh) + (0.1% petroleum)*(0.966 kgCO2e/kWh) = 0.638 kgCO2e/kWh</t>
    </r>
  </si>
  <si>
    <t xml:space="preserve">  Q4: What is CO2e (carbon dioxide-equivalent)?</t>
  </si>
  <si>
    <t xml:space="preserve">  A4: CO2e refers to the equivalent amount of CO2 that would need to be released into the atmosphere to have the same global warming potential, i.e. impact on the environment. For example, methane gas (CH4) has a global warming potential 
        25-times greater than carbon dioxide, meaning 1 kgCH4 = 25 kgCO2e.</t>
  </si>
  <si>
    <t xml:space="preserve">  Q5: What is an avoided cost of electricity?</t>
  </si>
  <si>
    <t xml:space="preserve">  A5: If you look at your monthly electric utility bill, you'll notice that you will have been charged for both the energy that you consumed (in dollars per kilowatt-hour) as well as some additional fixed (dollar per day or dollar per month)
         and variable (dollar per kilowatt-hour) fees. The avoided cost of energy takes into account both the energy charge as well as any additional fees (e.g. delivery, rate riders, access fees) that also scale with the amount of energy 
         consumed. Avoided cost provides a more accurate quantification of the cost savings of reducing your monthly electricity usage.</t>
  </si>
  <si>
    <t>Option</t>
  </si>
  <si>
    <t>Level 2 Charger</t>
  </si>
  <si>
    <t>Trenching</t>
  </si>
  <si>
    <t>Sub Panel</t>
  </si>
  <si>
    <t>200 Amp Upgrade</t>
  </si>
  <si>
    <t>Cost ($)</t>
  </si>
  <si>
    <t>Electrical System Upgrade Selection</t>
  </si>
  <si>
    <t>Load Management System</t>
  </si>
  <si>
    <t>200 Amp Panel Upgrade</t>
  </si>
  <si>
    <t>Selection</t>
  </si>
  <si>
    <t>Labour &amp; Material</t>
  </si>
  <si>
    <t>Box Checked?</t>
  </si>
  <si>
    <t>Electrical Upgrade Cost</t>
  </si>
  <si>
    <t>Electrical Upgrade</t>
  </si>
  <si>
    <t>Where applicable, the calculator uses publically available data sources, as outlined below:</t>
  </si>
  <si>
    <t>Financial Data</t>
  </si>
  <si>
    <t>Currency Conversion from $CAD</t>
  </si>
  <si>
    <t>Loan Term</t>
  </si>
  <si>
    <t>Loan Interest Rate</t>
  </si>
  <si>
    <t>Down Payment on Vehicle</t>
  </si>
  <si>
    <t>Down Payment on Vehicles</t>
  </si>
  <si>
    <t>Down Payment</t>
  </si>
  <si>
    <t>Annual Payment</t>
  </si>
  <si>
    <t>Interest Paid</t>
  </si>
  <si>
    <t>Loan Principal</t>
  </si>
  <si>
    <t>Loan Interest</t>
  </si>
  <si>
    <t>Loan Interest Rate (annual)</t>
  </si>
  <si>
    <t>Additional data, such as maintenance costs and electrical upgrade costs, have been collected over time through collaboration with various electrical and mechanical contractors in and around Central Alberta.</t>
  </si>
  <si>
    <r>
      <t xml:space="preserve">The calculator user interface consists of a single worksheet, </t>
    </r>
    <r>
      <rPr>
        <i/>
        <sz val="10"/>
        <color theme="1"/>
        <rFont val="Segoe UI"/>
        <family val="2"/>
      </rPr>
      <t>Dashboard</t>
    </r>
    <r>
      <rPr>
        <sz val="10"/>
        <color theme="1"/>
        <rFont val="Segoe UI"/>
        <family val="2"/>
      </rPr>
      <t>. Within this worksheet, users will find several input forms. The first input form allows the user to enter the country and province/state that they live in - this will allow the calculator to assign an average local cost of electricity, gasoline, diesel, and grid emission intensity, as well as seasonal mean temperatures and a currency conversion. The second through fourth input forms allow users to overwrite the local average values by defining their own energy and/or financial data. The fifth input form allows the user to input their own driving habits (annual distance driven, proportion of driving on highway, and length of vehicle ownership), overwriting the assumed values provided by Natural Resources Canada (NRCan). The sixth and seventh input forms allow users to select an EV and ICEV from a pre-defined list for comparison; same as the previous input forms, the user is able to enter their own vehicle data for both the EV and ICEV. The eighth and ninth input forms allow users to overwrite GEA estimates for maintenance costs and manufacturing emissions for each type of vehicle. The tenth, and final, input form, allows users to include the cost of upgrading their electrical system for at-home EV charging. The plots, located along the right side of the dashboard, should auto-update as data are entered or removed.</t>
    </r>
  </si>
  <si>
    <t xml:space="preserve">  Q6: Why does temperature matter when purchasing an EV?</t>
  </si>
  <si>
    <r>
      <t xml:space="preserve">  A6: Electric vehicle battery life, i.e. the maximum range that the vehicle can travel between charging, is dependent on temperature: partially because the battery performs better in mild (not too hot, not too cold) temperatures, but also because the
        EV runs an electric heating system during the winter to keep passengers warm, whereas ICEVs use excess heat from combustion to heat the cabin. This effect is shown in the bottom figure on the </t>
    </r>
    <r>
      <rPr>
        <i/>
        <sz val="10"/>
        <color theme="1"/>
        <rFont val="Segoe UI"/>
        <family val="2"/>
      </rPr>
      <t>dashboard</t>
    </r>
    <r>
      <rPr>
        <sz val="10"/>
        <color theme="1"/>
        <rFont val="Segoe UI"/>
        <family val="2"/>
      </rPr>
      <t xml:space="preserve">. </t>
    </r>
  </si>
  <si>
    <t xml:space="preserve">  Q7: How is driving on the highway different than in the city?</t>
  </si>
  <si>
    <t xml:space="preserve">  A7: Electric vehicles have a feature called regenerative braking, where momentum of the decelerating vehicle is converted to electrical energy used to charge the battery; for this reason, EVs perform better in the city, where the vehicle will be
        making lots of starts and stops. Combustion vehicles do not have this feature, and are less efficient in the city where they are accelerating, braking, and idling more than they would on the highway.</t>
  </si>
  <si>
    <t>Currency Symbol</t>
  </si>
  <si>
    <t>symbol</t>
  </si>
  <si>
    <t>Currency Symbols</t>
  </si>
  <si>
    <t>.د.ب</t>
  </si>
  <si>
    <t>.ރ</t>
  </si>
  <si>
    <t>£</t>
  </si>
  <si>
    <t>ج.م</t>
  </si>
  <si>
    <t>ل.س</t>
  </si>
  <si>
    <t>¥</t>
  </si>
  <si>
    <t>元</t>
  </si>
  <si>
    <t>₱</t>
  </si>
  <si>
    <t>﷼</t>
  </si>
  <si>
    <t>₭</t>
  </si>
  <si>
    <t>₦</t>
  </si>
  <si>
    <t>₨</t>
  </si>
  <si>
    <t>₩</t>
  </si>
  <si>
    <t>₮</t>
  </si>
  <si>
    <t>€</t>
  </si>
  <si>
    <t>₡</t>
  </si>
  <si>
    <t>৳</t>
  </si>
  <si>
    <t>៛</t>
  </si>
  <si>
    <t>؋</t>
  </si>
  <si>
    <t>₲</t>
  </si>
  <si>
    <t>₴</t>
  </si>
  <si>
    <t>₵</t>
  </si>
  <si>
    <t>₪</t>
  </si>
  <si>
    <t>₫</t>
  </si>
  <si>
    <t>₹</t>
  </si>
  <si>
    <t>Ar</t>
  </si>
  <si>
    <t>B/.</t>
  </si>
  <si>
    <t>Br</t>
  </si>
  <si>
    <t>Bs F</t>
  </si>
  <si>
    <t>Bs.</t>
  </si>
  <si>
    <t>C$</t>
  </si>
  <si>
    <t>D</t>
  </si>
  <si>
    <t>Db</t>
  </si>
  <si>
    <t>Esc</t>
  </si>
  <si>
    <t>ƒ</t>
  </si>
  <si>
    <t>Fr</t>
  </si>
  <si>
    <t>Ft</t>
  </si>
  <si>
    <t>G</t>
  </si>
  <si>
    <t>K</t>
  </si>
  <si>
    <t>Kč</t>
  </si>
  <si>
    <t>КМ</t>
  </si>
  <si>
    <t>kn</t>
  </si>
  <si>
    <t>kr</t>
  </si>
  <si>
    <t>Ks</t>
  </si>
  <si>
    <t>Kz</t>
  </si>
  <si>
    <t>L</t>
  </si>
  <si>
    <t>Le</t>
  </si>
  <si>
    <t>lei</t>
  </si>
  <si>
    <t>m</t>
  </si>
  <si>
    <t>MK</t>
  </si>
  <si>
    <t>MT</t>
  </si>
  <si>
    <t>Nfk</t>
  </si>
  <si>
    <t>Nu.</t>
  </si>
  <si>
    <t>P</t>
  </si>
  <si>
    <t>Ptas</t>
  </si>
  <si>
    <t>Q</t>
  </si>
  <si>
    <t>R</t>
  </si>
  <si>
    <t>R$</t>
  </si>
  <si>
    <t>RM</t>
  </si>
  <si>
    <t>Rp</t>
  </si>
  <si>
    <t>රු</t>
  </si>
  <si>
    <t>S/.</t>
  </si>
  <si>
    <t>Sh</t>
  </si>
  <si>
    <t>T</t>
  </si>
  <si>
    <t>T$</t>
  </si>
  <si>
    <t>UM</t>
  </si>
  <si>
    <t>Vt</t>
  </si>
  <si>
    <t>ZK</t>
  </si>
  <si>
    <t>zł</t>
  </si>
  <si>
    <t>ден</t>
  </si>
  <si>
    <t>din.</t>
  </si>
  <si>
    <t>ЅМ</t>
  </si>
  <si>
    <t>лв</t>
  </si>
  <si>
    <t>р.</t>
  </si>
  <si>
    <t>դր.</t>
  </si>
  <si>
    <t>ლ</t>
  </si>
  <si>
    <t>ج.س.</t>
  </si>
  <si>
    <t>د. م.</t>
  </si>
  <si>
    <t>د.إ</t>
  </si>
  <si>
    <t>د.ت</t>
  </si>
  <si>
    <t>د.ج</t>
  </si>
  <si>
    <t>د.ك</t>
  </si>
  <si>
    <t>د.م.</t>
  </si>
  <si>
    <t>ر.س</t>
  </si>
  <si>
    <t>ر.ع.</t>
  </si>
  <si>
    <t>ر.ق</t>
  </si>
  <si>
    <t>ع.د</t>
  </si>
  <si>
    <t>ل.د</t>
  </si>
  <si>
    <t>ل.ل</t>
  </si>
  <si>
    <t>Financial Incentives/Subsidies for EV</t>
  </si>
  <si>
    <t>Financial Incentive</t>
  </si>
  <si>
    <t>Subsidy</t>
  </si>
  <si>
    <t>Axis Titles</t>
  </si>
  <si>
    <t>Project Savings</t>
  </si>
  <si>
    <t>Energy Savings</t>
  </si>
  <si>
    <t>Fuel</t>
  </si>
  <si>
    <t>Up-front Cost Savings</t>
  </si>
  <si>
    <t>Operating Cost Savings</t>
  </si>
  <si>
    <t>Fuel Cost</t>
  </si>
  <si>
    <t>Payback Period</t>
  </si>
  <si>
    <t>Simple Payback</t>
  </si>
  <si>
    <t>Emissions Savings</t>
  </si>
  <si>
    <t>Percent Savings</t>
  </si>
  <si>
    <t>L/year</t>
  </si>
  <si>
    <t>kWh/year</t>
  </si>
  <si>
    <t>%/year</t>
  </si>
  <si>
    <t>months</t>
  </si>
  <si>
    <t>days</t>
  </si>
  <si>
    <t>Energy in Fuel (kWh/L)</t>
  </si>
  <si>
    <t>Total (Annual Equivalent)</t>
  </si>
  <si>
    <t>Performance</t>
  </si>
  <si>
    <r>
      <t>kgCO</t>
    </r>
    <r>
      <rPr>
        <vertAlign val="subscript"/>
        <sz val="10"/>
        <color theme="2" tint="-0.749992370372631"/>
        <rFont val="Segoe UI"/>
        <family val="2"/>
      </rPr>
      <t>2</t>
    </r>
    <r>
      <rPr>
        <sz val="10"/>
        <color theme="2" tint="-0.749992370372631"/>
        <rFont val="Segoe UI"/>
        <family val="2"/>
      </rPr>
      <t>e</t>
    </r>
  </si>
  <si>
    <r>
      <t>kgCO</t>
    </r>
    <r>
      <rPr>
        <vertAlign val="subscript"/>
        <sz val="10"/>
        <color theme="2" tint="-0.749992370372631"/>
        <rFont val="Segoe UI"/>
        <family val="2"/>
      </rPr>
      <t>2</t>
    </r>
    <r>
      <rPr>
        <sz val="10"/>
        <color theme="2" tint="-0.749992370372631"/>
        <rFont val="Segoe UI"/>
        <family val="2"/>
      </rPr>
      <t>e/year</t>
    </r>
  </si>
  <si>
    <t>ICEV Performance</t>
  </si>
  <si>
    <t>EV Performance</t>
  </si>
  <si>
    <t>Charging Losses</t>
  </si>
  <si>
    <t>Sales Tax (%)</t>
  </si>
  <si>
    <t>Salex Tax Rate</t>
  </si>
  <si>
    <t xml:space="preserve">   - Vehicle Purchase Price (Autotrader.ca)</t>
  </si>
  <si>
    <t>Consider a person that lives in Edmonton, Alberta, driving a 2013 Chevy Cruze. They are considering buying a 2021 Nissan Leaf to replace their existing vehicle, as the majority of their driving (90% of 25,000 km annually) is in the city. The price of gas has increased significantly (to $1.65/L) in the past month, and they are paying 4.5 cents/kWh less than the provincial average for their electricity. The dealership has offered to buy the Chevy Cruze for $3,000, which would be put towards purchasing the Nissan Leaf, along with the $5,000 Federal iZEV rebate. Using NRCan's Fuel Consumption Ratings Search Tool, the person has determined that the average fuel economy for their current vehicle is around 8.8 L/100 km. Note: as the ICEV being considered in this example is not new, the ICEV purchase price and manufacturing emissions should both be set to zero. To better charge the EV, after consultation with an electrical contractor, a level 2 charger with additional load management would be installed. The dealership has offered to finance the EV under a 4-year loan at 4% annual interest with a 15% down payment.</t>
  </si>
  <si>
    <t xml:space="preserve">   - U.S. weather data (usclimatedata.com)</t>
  </si>
  <si>
    <t xml:space="preserve">   - Fuel emissions factors (Environment Canada, National Inventory Report)</t>
  </si>
  <si>
    <t xml:space="preserve">   - Canadian weather data (Environment Canada, Historic Weather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</si>
</sst>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0.0000"/>
    <numFmt numFmtId="165" formatCode="0.000"/>
    <numFmt numFmtId="166" formatCode="&quot;$&quot;#,##0.000"/>
    <numFmt numFmtId="167" formatCode="&quot;$&quot;#,##0"/>
    <numFmt numFmtId="168" formatCode="0.0"/>
    <numFmt numFmtId="169" formatCode="&quot;$&quot;#,##0.00"/>
  </numFmts>
  <fonts count="19" x14ac:knownFonts="1">
    <font>
      <sz val="11"/>
      <color theme="1"/>
      <name val="Calibri"/>
      <family val="2"/>
      <scheme val="minor"/>
    </font>
    <font>
      <sz val="11"/>
      <color theme="1"/>
      <name val="Calibri"/>
      <family val="2"/>
      <scheme val="minor"/>
    </font>
    <font>
      <sz val="10"/>
      <color theme="1"/>
      <name val="Segoe UI"/>
      <family val="2"/>
    </font>
    <font>
      <i/>
      <sz val="10"/>
      <color theme="2" tint="-0.749992370372631"/>
      <name val="Segoe UI"/>
      <family val="2"/>
    </font>
    <font>
      <b/>
      <sz val="9"/>
      <color theme="1"/>
      <name val="Segoe UI"/>
      <family val="2"/>
    </font>
    <font>
      <sz val="11"/>
      <name val="Calibri"/>
      <family val="2"/>
      <scheme val="minor"/>
    </font>
    <font>
      <b/>
      <sz val="10"/>
      <color theme="1"/>
      <name val="Segoe UI"/>
      <family val="2"/>
    </font>
    <font>
      <b/>
      <sz val="11"/>
      <color theme="1"/>
      <name val="Calibri"/>
      <family val="2"/>
      <scheme val="minor"/>
    </font>
    <font>
      <u/>
      <sz val="9"/>
      <color theme="1"/>
      <name val="Segoe UI"/>
      <family val="2"/>
    </font>
    <font>
      <i/>
      <sz val="10"/>
      <color theme="1"/>
      <name val="Segoe UI"/>
      <family val="2"/>
    </font>
    <font>
      <sz val="10"/>
      <color theme="1"/>
      <name val="Calibri"/>
      <family val="2"/>
    </font>
    <font>
      <i/>
      <u/>
      <sz val="10"/>
      <color theme="1"/>
      <name val="Segoe UI"/>
      <family val="2"/>
    </font>
    <font>
      <i/>
      <sz val="9"/>
      <color theme="2" tint="-0.749992370372631"/>
      <name val="Calibri"/>
      <family val="2"/>
    </font>
    <font>
      <i/>
      <sz val="9"/>
      <color theme="2" tint="-0.749992370372631"/>
      <name val="Segoe UI"/>
      <family val="2"/>
    </font>
    <font>
      <b/>
      <sz val="11"/>
      <name val="Calibri"/>
      <family val="2"/>
      <scheme val="minor"/>
    </font>
    <font>
      <i/>
      <u/>
      <sz val="11"/>
      <name val="Calibri"/>
      <family val="2"/>
      <scheme val="minor"/>
    </font>
    <font>
      <sz val="9"/>
      <color theme="1"/>
      <name val="Segoe UI"/>
      <family val="2"/>
    </font>
    <font>
      <sz val="10"/>
      <color theme="2" tint="-0.749992370372631"/>
      <name val="Segoe UI"/>
      <family val="2"/>
    </font>
    <font>
      <vertAlign val="subscript"/>
      <sz val="10"/>
      <color theme="2" tint="-0.749992370372631"/>
      <name val="Segoe UI"/>
      <family val="2"/>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2"/>
        <bgColor indexed="64"/>
      </patternFill>
    </fill>
  </fills>
  <borders count="2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top/>
      <bottom style="thin">
        <color theme="2" tint="-0.499984740745262"/>
      </bottom>
      <diagonal/>
    </border>
    <border>
      <left/>
      <right style="thin">
        <color indexed="64"/>
      </right>
      <top/>
      <bottom style="thin">
        <color theme="2" tint="-0.499984740745262"/>
      </bottom>
      <diagonal/>
    </border>
    <border>
      <left style="thin">
        <color indexed="64"/>
      </left>
      <right style="medium">
        <color indexed="64"/>
      </right>
      <top style="thin">
        <color theme="2" tint="-0.499984740745262"/>
      </top>
      <bottom/>
      <diagonal/>
    </border>
    <border>
      <left style="medium">
        <color indexed="64"/>
      </left>
      <right style="medium">
        <color indexed="64"/>
      </right>
      <top style="thin">
        <color theme="2" tint="-0.499984740745262"/>
      </top>
      <bottom/>
      <diagonal/>
    </border>
    <border>
      <left style="medium">
        <color indexed="64"/>
      </left>
      <right style="medium">
        <color indexed="64"/>
      </right>
      <top/>
      <bottom style="thin">
        <color theme="1" tint="0.499984740745262"/>
      </bottom>
      <diagonal/>
    </border>
    <border>
      <left style="medium">
        <color indexed="64"/>
      </left>
      <right/>
      <top/>
      <bottom style="thin">
        <color theme="1" tint="0.499984740745262"/>
      </bottom>
      <diagonal/>
    </border>
    <border>
      <left/>
      <right style="thin">
        <color indexed="64"/>
      </right>
      <top/>
      <bottom style="thin">
        <color theme="1" tint="0.499984740745262"/>
      </bottom>
      <diagonal/>
    </border>
    <border>
      <left/>
      <right style="medium">
        <color indexed="64"/>
      </right>
      <top/>
      <bottom style="thin">
        <color theme="1" tint="0.49998474074526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0" fillId="0" borderId="1" xfId="0" applyBorder="1" applyAlignment="1">
      <alignment horizontal="center"/>
    </xf>
    <xf numFmtId="164" fontId="0" fillId="0" borderId="0" xfId="0" applyNumberFormat="1"/>
    <xf numFmtId="0" fontId="0" fillId="0" borderId="1" xfId="0" applyFill="1" applyBorder="1" applyAlignment="1">
      <alignment horizontal="center"/>
    </xf>
    <xf numFmtId="0" fontId="3" fillId="2" borderId="11" xfId="0" applyFont="1" applyFill="1" applyBorder="1"/>
    <xf numFmtId="0" fontId="4" fillId="3" borderId="7" xfId="0" applyFont="1" applyFill="1" applyBorder="1"/>
    <xf numFmtId="0" fontId="5" fillId="0" borderId="0" xfId="0" applyFont="1"/>
    <xf numFmtId="0" fontId="2" fillId="0" borderId="0" xfId="0" applyFont="1" applyAlignment="1">
      <alignment horizontal="left" vertical="top" wrapText="1"/>
    </xf>
    <xf numFmtId="0" fontId="4" fillId="3" borderId="2" xfId="0" applyFont="1" applyFill="1" applyBorder="1"/>
    <xf numFmtId="0" fontId="3" fillId="2" borderId="10" xfId="0" applyFont="1" applyFill="1" applyBorder="1"/>
    <xf numFmtId="166" fontId="2" fillId="0" borderId="0" xfId="0" applyNumberFormat="1" applyFont="1" applyBorder="1"/>
    <xf numFmtId="0" fontId="0" fillId="0" borderId="0" xfId="0" applyFill="1"/>
    <xf numFmtId="165" fontId="2" fillId="0" borderId="0" xfId="0" applyNumberFormat="1" applyFont="1" applyFill="1" applyBorder="1"/>
    <xf numFmtId="0" fontId="4" fillId="0" borderId="0" xfId="0" applyFont="1" applyAlignment="1">
      <alignment horizontal="center"/>
    </xf>
    <xf numFmtId="0" fontId="8" fillId="0" borderId="0" xfId="0" applyFont="1" applyFill="1"/>
    <xf numFmtId="0" fontId="6" fillId="0" borderId="0" xfId="0" applyFont="1" applyAlignment="1">
      <alignment horizontal="left" vertical="top" wrapText="1"/>
    </xf>
    <xf numFmtId="0" fontId="7" fillId="0" borderId="0" xfId="0" applyFont="1"/>
    <xf numFmtId="0" fontId="2" fillId="0" borderId="0" xfId="0" applyFont="1"/>
    <xf numFmtId="0" fontId="6" fillId="0" borderId="0" xfId="0" applyFont="1"/>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xf>
    <xf numFmtId="0" fontId="2" fillId="0" borderId="0" xfId="0" applyFont="1" applyAlignment="1">
      <alignment vertical="center" wrapText="1"/>
    </xf>
    <xf numFmtId="2" fontId="0" fillId="0" borderId="0" xfId="0" applyNumberFormat="1"/>
    <xf numFmtId="2" fontId="0" fillId="0" borderId="0" xfId="0" applyNumberFormat="1" applyAlignment="1">
      <alignment horizontal="right"/>
    </xf>
    <xf numFmtId="165" fontId="0" fillId="0" borderId="0" xfId="0" applyNumberFormat="1"/>
    <xf numFmtId="0" fontId="3" fillId="2" borderId="14" xfId="0" applyFont="1" applyFill="1" applyBorder="1"/>
    <xf numFmtId="0" fontId="4" fillId="3" borderId="6" xfId="0" applyFont="1" applyFill="1" applyBorder="1"/>
    <xf numFmtId="0" fontId="11"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horizontal="left"/>
    </xf>
    <xf numFmtId="167" fontId="0" fillId="0" borderId="0" xfId="1" applyNumberFormat="1" applyFont="1" applyBorder="1" applyAlignment="1">
      <alignment horizontal="center"/>
    </xf>
    <xf numFmtId="168" fontId="0" fillId="0" borderId="0" xfId="0" applyNumberFormat="1" applyAlignment="1">
      <alignment horizontal="center"/>
    </xf>
    <xf numFmtId="0" fontId="0" fillId="0" borderId="0" xfId="0" applyFill="1" applyBorder="1" applyAlignment="1">
      <alignment horizontal="left"/>
    </xf>
    <xf numFmtId="167" fontId="0" fillId="0" borderId="0" xfId="1" applyNumberFormat="1" applyFont="1" applyFill="1" applyBorder="1" applyAlignment="1">
      <alignment horizontal="center"/>
    </xf>
    <xf numFmtId="168" fontId="0" fillId="0" borderId="0" xfId="0" applyNumberFormat="1"/>
    <xf numFmtId="167" fontId="0" fillId="0" borderId="0" xfId="1" applyNumberFormat="1" applyFont="1" applyAlignment="1">
      <alignment horizontal="center"/>
    </xf>
    <xf numFmtId="0" fontId="0" fillId="0" borderId="0" xfId="0" applyBorder="1"/>
    <xf numFmtId="0" fontId="3" fillId="0" borderId="0" xfId="0" applyFont="1" applyFill="1" applyBorder="1"/>
    <xf numFmtId="167" fontId="2" fillId="4" borderId="5" xfId="1" applyNumberFormat="1" applyFont="1" applyFill="1" applyBorder="1" applyAlignment="1">
      <alignment horizontal="right"/>
    </xf>
    <xf numFmtId="2" fontId="2" fillId="0" borderId="9" xfId="1" applyNumberFormat="1" applyFont="1" applyBorder="1" applyAlignment="1">
      <alignment horizontal="right"/>
    </xf>
    <xf numFmtId="2" fontId="2" fillId="0" borderId="5" xfId="1" applyNumberFormat="1" applyFont="1" applyBorder="1" applyAlignment="1">
      <alignment horizontal="right"/>
    </xf>
    <xf numFmtId="0" fontId="2" fillId="4" borderId="9" xfId="0" applyFont="1" applyFill="1" applyBorder="1" applyAlignment="1">
      <alignment horizontal="right"/>
    </xf>
    <xf numFmtId="0" fontId="4" fillId="0" borderId="0" xfId="0" applyFont="1" applyFill="1" applyBorder="1" applyAlignment="1">
      <alignment horizontal="left"/>
    </xf>
    <xf numFmtId="0" fontId="4" fillId="3" borderId="16" xfId="0" applyFont="1" applyFill="1" applyBorder="1"/>
    <xf numFmtId="0" fontId="3" fillId="2" borderId="17" xfId="0" applyFont="1" applyFill="1" applyBorder="1"/>
    <xf numFmtId="0" fontId="14" fillId="0" borderId="0" xfId="0" applyFont="1"/>
    <xf numFmtId="0" fontId="0" fillId="0" borderId="0" xfId="0" applyFill="1" applyBorder="1"/>
    <xf numFmtId="0" fontId="15" fillId="0" borderId="0" xfId="0" applyFont="1"/>
    <xf numFmtId="0" fontId="2" fillId="0" borderId="12" xfId="0" applyFont="1" applyFill="1" applyBorder="1" applyAlignment="1" applyProtection="1">
      <alignment horizontal="right"/>
      <protection locked="0"/>
    </xf>
    <xf numFmtId="0" fontId="2" fillId="4" borderId="15" xfId="0" applyFont="1" applyFill="1" applyBorder="1" applyAlignment="1" applyProtection="1">
      <alignment horizontal="right"/>
      <protection locked="0"/>
    </xf>
    <xf numFmtId="0" fontId="2" fillId="0" borderId="15" xfId="0" applyFont="1" applyFill="1" applyBorder="1" applyAlignment="1" applyProtection="1">
      <alignment horizontal="right"/>
      <protection locked="0"/>
    </xf>
    <xf numFmtId="0" fontId="2" fillId="4" borderId="13" xfId="0" applyFont="1" applyFill="1" applyBorder="1" applyAlignment="1" applyProtection="1">
      <alignment horizontal="right"/>
      <protection locked="0"/>
    </xf>
    <xf numFmtId="168" fontId="0" fillId="0" borderId="0" xfId="0" applyNumberFormat="1" applyBorder="1" applyAlignment="1">
      <alignment horizontal="center"/>
    </xf>
    <xf numFmtId="166" fontId="2" fillId="0" borderId="12" xfId="0" applyNumberFormat="1" applyFont="1" applyFill="1" applyBorder="1" applyAlignment="1" applyProtection="1">
      <alignment horizontal="right"/>
      <protection locked="0"/>
    </xf>
    <xf numFmtId="165" fontId="2" fillId="4" borderId="15" xfId="0" applyNumberFormat="1" applyFont="1" applyFill="1" applyBorder="1" applyAlignment="1" applyProtection="1">
      <alignment horizontal="right"/>
      <protection locked="0"/>
    </xf>
    <xf numFmtId="166" fontId="2" fillId="0" borderId="19" xfId="0" applyNumberFormat="1" applyFont="1" applyFill="1" applyBorder="1" applyAlignment="1" applyProtection="1">
      <alignment horizontal="right"/>
      <protection locked="0"/>
    </xf>
    <xf numFmtId="165" fontId="2" fillId="4" borderId="13" xfId="0" applyNumberFormat="1" applyFont="1" applyFill="1" applyBorder="1" applyAlignment="1" applyProtection="1">
      <alignment horizontal="right"/>
      <protection locked="0"/>
    </xf>
    <xf numFmtId="169" fontId="0" fillId="0" borderId="4" xfId="0" applyNumberFormat="1" applyBorder="1" applyAlignment="1">
      <alignment horizontal="right"/>
    </xf>
    <xf numFmtId="169" fontId="0" fillId="4" borderId="9" xfId="0" applyNumberFormat="1" applyFill="1" applyBorder="1" applyAlignment="1">
      <alignment horizontal="right"/>
    </xf>
    <xf numFmtId="3" fontId="2" fillId="0" borderId="4" xfId="3" applyNumberFormat="1" applyFont="1" applyBorder="1" applyAlignment="1">
      <alignment horizontal="right"/>
    </xf>
    <xf numFmtId="9" fontId="2" fillId="4" borderId="5" xfId="2" applyFont="1" applyFill="1" applyBorder="1" applyAlignment="1">
      <alignment horizontal="right"/>
    </xf>
    <xf numFmtId="0" fontId="2" fillId="0" borderId="9" xfId="2" applyNumberFormat="1" applyFont="1" applyFill="1" applyBorder="1" applyAlignment="1">
      <alignment horizontal="right"/>
    </xf>
    <xf numFmtId="166" fontId="2" fillId="0" borderId="4" xfId="0" applyNumberFormat="1" applyFont="1" applyBorder="1" applyAlignment="1">
      <alignment horizontal="right"/>
    </xf>
    <xf numFmtId="165" fontId="2" fillId="4" borderId="5" xfId="0" applyNumberFormat="1" applyFont="1" applyFill="1" applyBorder="1" applyAlignment="1">
      <alignment horizontal="right"/>
    </xf>
    <xf numFmtId="166" fontId="2" fillId="0" borderId="18" xfId="0" applyNumberFormat="1" applyFont="1" applyBorder="1" applyAlignment="1">
      <alignment horizontal="right"/>
    </xf>
    <xf numFmtId="165" fontId="2" fillId="4" borderId="9" xfId="0" applyNumberFormat="1" applyFont="1" applyFill="1" applyBorder="1" applyAlignment="1">
      <alignment horizontal="right"/>
    </xf>
    <xf numFmtId="0" fontId="2" fillId="0" borderId="4" xfId="0" applyNumberFormat="1" applyFont="1" applyBorder="1" applyAlignment="1">
      <alignment horizontal="right"/>
    </xf>
    <xf numFmtId="0" fontId="2" fillId="4" borderId="5" xfId="0" applyNumberFormat="1" applyFont="1" applyFill="1" applyBorder="1" applyAlignment="1">
      <alignment horizontal="right"/>
    </xf>
    <xf numFmtId="0" fontId="2" fillId="0" borderId="5" xfId="0" applyNumberFormat="1" applyFont="1" applyBorder="1" applyAlignment="1">
      <alignment horizontal="right"/>
    </xf>
    <xf numFmtId="0" fontId="2" fillId="4" borderId="9" xfId="0" applyNumberFormat="1" applyFont="1" applyFill="1" applyBorder="1" applyAlignment="1">
      <alignment horizontal="right"/>
    </xf>
    <xf numFmtId="9" fontId="5" fillId="0" borderId="0" xfId="0" applyNumberFormat="1" applyFont="1"/>
    <xf numFmtId="1" fontId="5" fillId="0" borderId="0" xfId="0" applyNumberFormat="1" applyFont="1"/>
    <xf numFmtId="3" fontId="5" fillId="0" borderId="0" xfId="0" applyNumberFormat="1" applyFont="1"/>
    <xf numFmtId="168" fontId="5" fillId="0" borderId="0" xfId="0" applyNumberFormat="1" applyFont="1"/>
    <xf numFmtId="9" fontId="5" fillId="0" borderId="0" xfId="2" applyFont="1"/>
    <xf numFmtId="167" fontId="5" fillId="0" borderId="0" xfId="0" applyNumberFormat="1" applyFont="1"/>
    <xf numFmtId="3" fontId="2" fillId="0" borderId="12" xfId="3" applyNumberFormat="1" applyFont="1" applyBorder="1" applyAlignment="1" applyProtection="1">
      <alignment horizontal="right"/>
      <protection locked="0"/>
    </xf>
    <xf numFmtId="9" fontId="2" fillId="4" borderId="15" xfId="2" applyFont="1" applyFill="1" applyBorder="1" applyAlignment="1" applyProtection="1">
      <alignment horizontal="right"/>
      <protection locked="0"/>
    </xf>
    <xf numFmtId="169" fontId="2" fillId="0" borderId="12" xfId="3" applyNumberFormat="1" applyFont="1" applyBorder="1" applyAlignment="1" applyProtection="1">
      <alignment horizontal="right"/>
      <protection locked="0"/>
    </xf>
    <xf numFmtId="169" fontId="2" fillId="4" borderId="13" xfId="2" applyNumberFormat="1" applyFont="1" applyFill="1" applyBorder="1" applyAlignment="1" applyProtection="1">
      <alignment horizontal="right"/>
      <protection locked="0"/>
    </xf>
    <xf numFmtId="3" fontId="2" fillId="0" borderId="12" xfId="0" applyNumberFormat="1" applyFont="1" applyBorder="1" applyProtection="1">
      <protection locked="0"/>
    </xf>
    <xf numFmtId="3" fontId="2" fillId="4" borderId="13" xfId="0" applyNumberFormat="1" applyFont="1" applyFill="1" applyBorder="1" applyProtection="1">
      <protection locked="0"/>
    </xf>
    <xf numFmtId="0" fontId="2" fillId="0" borderId="4" xfId="0" applyFont="1" applyBorder="1" applyAlignment="1" applyProtection="1">
      <alignment horizontal="right"/>
      <protection locked="0"/>
    </xf>
    <xf numFmtId="0" fontId="2" fillId="0" borderId="12" xfId="0" applyFont="1" applyBorder="1" applyAlignment="1" applyProtection="1">
      <alignment horizontal="right"/>
      <protection locked="0"/>
    </xf>
    <xf numFmtId="167" fontId="2" fillId="4" borderId="15" xfId="0" applyNumberFormat="1" applyFont="1" applyFill="1" applyBorder="1" applyAlignment="1" applyProtection="1">
      <alignment horizontal="right"/>
      <protection locked="0"/>
    </xf>
    <xf numFmtId="0" fontId="2" fillId="0" borderId="15" xfId="0" applyFont="1" applyBorder="1" applyAlignment="1" applyProtection="1">
      <alignment horizontal="right"/>
      <protection locked="0"/>
    </xf>
    <xf numFmtId="0" fontId="2" fillId="0" borderId="13" xfId="0" applyFont="1" applyBorder="1" applyAlignment="1" applyProtection="1">
      <alignment horizontal="right"/>
      <protection locked="0"/>
    </xf>
    <xf numFmtId="1" fontId="2" fillId="0" borderId="13" xfId="2" applyNumberFormat="1" applyFont="1" applyFill="1" applyBorder="1" applyAlignment="1" applyProtection="1">
      <alignment horizontal="right"/>
      <protection locked="0"/>
    </xf>
    <xf numFmtId="0" fontId="2" fillId="0" borderId="0" xfId="0" applyFont="1" applyAlignment="1">
      <alignment horizontal="left" wrapText="1"/>
    </xf>
    <xf numFmtId="0" fontId="2" fillId="0" borderId="0" xfId="0" applyFont="1" applyFill="1" applyBorder="1" applyAlignment="1" applyProtection="1">
      <alignment horizontal="center"/>
    </xf>
    <xf numFmtId="165" fontId="2" fillId="0" borderId="0" xfId="0" applyNumberFormat="1" applyFont="1" applyFill="1" applyBorder="1" applyProtection="1"/>
    <xf numFmtId="0" fontId="0" fillId="0" borderId="0" xfId="0" applyProtection="1">
      <protection locked="0"/>
    </xf>
    <xf numFmtId="165" fontId="2" fillId="0" borderId="12" xfId="0" applyNumberFormat="1" applyFont="1" applyFill="1" applyBorder="1" applyAlignment="1" applyProtection="1">
      <alignment horizontal="right"/>
      <protection locked="0"/>
    </xf>
    <xf numFmtId="3" fontId="2" fillId="0" borderId="4" xfId="0" applyNumberFormat="1" applyFont="1" applyBorder="1"/>
    <xf numFmtId="3" fontId="2" fillId="4" borderId="9" xfId="0" applyNumberFormat="1" applyFont="1" applyFill="1" applyBorder="1"/>
    <xf numFmtId="165" fontId="2" fillId="0" borderId="4" xfId="0" applyNumberFormat="1" applyFont="1" applyBorder="1" applyAlignment="1">
      <alignment horizontal="right"/>
    </xf>
    <xf numFmtId="0" fontId="4" fillId="3" borderId="21" xfId="0" applyFont="1" applyFill="1" applyBorder="1"/>
    <xf numFmtId="0" fontId="3" fillId="2" borderId="22" xfId="0" applyFont="1" applyFill="1" applyBorder="1"/>
    <xf numFmtId="165" fontId="2" fillId="4" borderId="20" xfId="0" applyNumberFormat="1" applyFont="1" applyFill="1" applyBorder="1" applyAlignment="1" applyProtection="1">
      <alignment horizontal="right"/>
      <protection locked="0"/>
    </xf>
    <xf numFmtId="0" fontId="5" fillId="0" borderId="0" xfId="0" applyFont="1" applyAlignment="1">
      <alignment horizontal="right"/>
    </xf>
    <xf numFmtId="0" fontId="16" fillId="2" borderId="6" xfId="0" applyFont="1" applyFill="1" applyBorder="1" applyAlignment="1">
      <alignment horizontal="left"/>
    </xf>
    <xf numFmtId="0" fontId="16" fillId="2" borderId="14" xfId="0" applyFont="1" applyFill="1" applyBorder="1" applyAlignment="1">
      <alignment horizontal="left"/>
    </xf>
    <xf numFmtId="165" fontId="5" fillId="0" borderId="0" xfId="0" applyNumberFormat="1" applyFont="1"/>
    <xf numFmtId="2" fontId="5" fillId="0" borderId="0" xfId="0" applyNumberFormat="1" applyFont="1"/>
    <xf numFmtId="0" fontId="17" fillId="0" borderId="0" xfId="0" applyFont="1" applyBorder="1"/>
    <xf numFmtId="0" fontId="2" fillId="0" borderId="0" xfId="0" applyFont="1" applyBorder="1"/>
    <xf numFmtId="3" fontId="2" fillId="0" borderId="5" xfId="0" applyNumberFormat="1" applyFont="1" applyBorder="1" applyAlignment="1">
      <alignment horizontal="center"/>
    </xf>
    <xf numFmtId="0" fontId="17" fillId="4" borderId="0" xfId="0" applyFont="1" applyFill="1" applyBorder="1"/>
    <xf numFmtId="0" fontId="2" fillId="4" borderId="0" xfId="0" applyFont="1" applyFill="1" applyBorder="1"/>
    <xf numFmtId="3" fontId="2" fillId="4" borderId="5" xfId="0" applyNumberFormat="1" applyFont="1" applyFill="1" applyBorder="1" applyAlignment="1">
      <alignment horizontal="center"/>
    </xf>
    <xf numFmtId="0" fontId="17" fillId="0" borderId="0" xfId="0" applyFont="1" applyFill="1" applyBorder="1"/>
    <xf numFmtId="0" fontId="2" fillId="0" borderId="0" xfId="0" applyFont="1" applyFill="1" applyBorder="1"/>
    <xf numFmtId="3" fontId="2" fillId="0" borderId="5" xfId="0" applyNumberFormat="1" applyFont="1" applyFill="1" applyBorder="1" applyAlignment="1">
      <alignment horizontal="center"/>
    </xf>
    <xf numFmtId="0" fontId="17" fillId="0" borderId="8" xfId="0" applyFont="1" applyFill="1" applyBorder="1"/>
    <xf numFmtId="0" fontId="2" fillId="0" borderId="8" xfId="0" applyFont="1" applyFill="1" applyBorder="1"/>
    <xf numFmtId="1" fontId="2" fillId="0" borderId="9" xfId="0" applyNumberFormat="1" applyFont="1" applyFill="1" applyBorder="1" applyAlignment="1">
      <alignment horizontal="center"/>
    </xf>
    <xf numFmtId="0" fontId="2" fillId="0" borderId="5" xfId="0" applyFont="1" applyBorder="1" applyAlignment="1">
      <alignment horizontal="center"/>
    </xf>
    <xf numFmtId="0" fontId="2" fillId="4" borderId="5" xfId="0" applyFont="1" applyFill="1" applyBorder="1" applyAlignment="1">
      <alignment horizontal="center"/>
    </xf>
    <xf numFmtId="1" fontId="2" fillId="0" borderId="5" xfId="2" applyNumberFormat="1" applyFont="1" applyBorder="1" applyAlignment="1">
      <alignment horizontal="center"/>
    </xf>
    <xf numFmtId="0" fontId="4" fillId="3" borderId="6" xfId="0" applyFont="1" applyFill="1" applyBorder="1" applyAlignment="1">
      <alignment horizontal="left"/>
    </xf>
    <xf numFmtId="0" fontId="4" fillId="3" borderId="0" xfId="0" applyFont="1" applyFill="1" applyBorder="1" applyAlignment="1">
      <alignment horizontal="left"/>
    </xf>
    <xf numFmtId="0" fontId="4" fillId="3" borderId="5" xfId="0" applyFont="1" applyFill="1" applyBorder="1" applyAlignment="1">
      <alignment horizontal="left"/>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16" fillId="2" borderId="6" xfId="0" applyFont="1" applyFill="1" applyBorder="1" applyAlignment="1">
      <alignment horizontal="left"/>
    </xf>
    <xf numFmtId="0" fontId="16" fillId="2" borderId="14" xfId="0" applyFont="1" applyFill="1" applyBorder="1" applyAlignment="1">
      <alignment horizontal="left"/>
    </xf>
    <xf numFmtId="0" fontId="16" fillId="2" borderId="7" xfId="0" applyFont="1" applyFill="1" applyBorder="1" applyAlignment="1">
      <alignment horizontal="left"/>
    </xf>
    <xf numFmtId="0" fontId="16" fillId="2" borderId="11" xfId="0" applyFont="1" applyFill="1" applyBorder="1" applyAlignment="1">
      <alignment horizontal="left"/>
    </xf>
    <xf numFmtId="0" fontId="16" fillId="2" borderId="6" xfId="0" applyFont="1" applyFill="1" applyBorder="1" applyAlignment="1">
      <alignment horizontal="left" vertical="center"/>
    </xf>
    <xf numFmtId="0" fontId="16" fillId="2" borderId="14" xfId="0" applyFont="1" applyFill="1" applyBorder="1" applyAlignment="1">
      <alignment horizontal="left" vertical="center"/>
    </xf>
    <xf numFmtId="0" fontId="4" fillId="3" borderId="7" xfId="0" applyFont="1" applyFill="1" applyBorder="1" applyAlignment="1">
      <alignment horizontal="left"/>
    </xf>
    <xf numFmtId="0" fontId="4" fillId="3" borderId="11" xfId="0" applyFont="1" applyFill="1" applyBorder="1" applyAlignment="1">
      <alignment horizontal="left"/>
    </xf>
    <xf numFmtId="0" fontId="2" fillId="0" borderId="3" xfId="0" applyFont="1" applyBorder="1" applyAlignment="1" applyProtection="1">
      <alignment horizontal="right"/>
      <protection locked="0"/>
    </xf>
    <xf numFmtId="0" fontId="2" fillId="0" borderId="4" xfId="0" applyFont="1" applyBorder="1" applyAlignment="1" applyProtection="1">
      <alignment horizontal="right"/>
      <protection locked="0"/>
    </xf>
    <xf numFmtId="0" fontId="2" fillId="4" borderId="8" xfId="0" applyFont="1" applyFill="1" applyBorder="1" applyAlignment="1" applyProtection="1">
      <alignment horizontal="right"/>
      <protection locked="0"/>
    </xf>
    <xf numFmtId="0" fontId="2" fillId="4" borderId="9" xfId="0" applyFont="1" applyFill="1" applyBorder="1" applyAlignment="1" applyProtection="1">
      <alignment horizontal="right"/>
      <protection locked="0"/>
    </xf>
    <xf numFmtId="0" fontId="4" fillId="3" borderId="2" xfId="0" applyFont="1" applyFill="1" applyBorder="1" applyAlignment="1"/>
    <xf numFmtId="0" fontId="4" fillId="3" borderId="10" xfId="0" applyFont="1" applyFill="1" applyBorder="1" applyAlignment="1"/>
    <xf numFmtId="169" fontId="2" fillId="0" borderId="4" xfId="0" applyNumberFormat="1" applyFont="1" applyBorder="1" applyAlignment="1">
      <alignment horizontal="right" vertical="center"/>
    </xf>
    <xf numFmtId="169" fontId="2" fillId="0" borderId="5" xfId="0" applyNumberFormat="1" applyFont="1" applyBorder="1" applyAlignment="1">
      <alignment horizontal="right" vertical="center"/>
    </xf>
    <xf numFmtId="169" fontId="2" fillId="0" borderId="9" xfId="0" applyNumberFormat="1" applyFont="1" applyBorder="1" applyAlignment="1">
      <alignment horizontal="right" vertical="center"/>
    </xf>
    <xf numFmtId="169" fontId="2" fillId="0" borderId="12" xfId="0" applyNumberFormat="1" applyFont="1" applyBorder="1" applyAlignment="1" applyProtection="1">
      <alignment horizontal="right" vertical="center"/>
      <protection locked="0"/>
    </xf>
    <xf numFmtId="169" fontId="2" fillId="0" borderId="15" xfId="0" applyNumberFormat="1" applyFont="1" applyBorder="1" applyAlignment="1" applyProtection="1">
      <alignment horizontal="right" vertical="center"/>
      <protection locked="0"/>
    </xf>
    <xf numFmtId="169" fontId="2" fillId="0" borderId="13" xfId="0" applyNumberFormat="1" applyFont="1" applyBorder="1" applyAlignment="1" applyProtection="1">
      <alignment horizontal="right" vertical="center"/>
      <protection locked="0"/>
    </xf>
    <xf numFmtId="0" fontId="11" fillId="0" borderId="8" xfId="0" applyFont="1" applyBorder="1" applyAlignment="1">
      <alignment horizontal="left"/>
    </xf>
    <xf numFmtId="0" fontId="2" fillId="0" borderId="5" xfId="0" applyNumberFormat="1" applyFont="1" applyFill="1" applyBorder="1" applyAlignment="1">
      <alignment horizontal="right"/>
    </xf>
    <xf numFmtId="1" fontId="2" fillId="0" borderId="15" xfId="0" applyNumberFormat="1" applyFont="1" applyFill="1" applyBorder="1" applyAlignment="1" applyProtection="1">
      <alignment horizontal="right"/>
      <protection locked="0"/>
    </xf>
    <xf numFmtId="9" fontId="2" fillId="0" borderId="9" xfId="2" applyFont="1" applyFill="1" applyBorder="1" applyAlignment="1">
      <alignment horizontal="right"/>
    </xf>
    <xf numFmtId="9" fontId="2" fillId="0" borderId="13" xfId="2" applyFont="1" applyFill="1" applyBorder="1" applyAlignment="1" applyProtection="1">
      <alignment horizontal="right"/>
      <protection locked="0"/>
    </xf>
    <xf numFmtId="169" fontId="2" fillId="4" borderId="23" xfId="0" applyNumberFormat="1" applyFont="1" applyFill="1" applyBorder="1" applyAlignment="1">
      <alignment horizontal="right"/>
    </xf>
    <xf numFmtId="165" fontId="2" fillId="4" borderId="23" xfId="0" applyNumberFormat="1" applyFont="1" applyFill="1" applyBorder="1" applyAlignment="1">
      <alignment horizontal="right"/>
    </xf>
    <xf numFmtId="169" fontId="2" fillId="4" borderId="20" xfId="0" applyNumberFormat="1" applyFont="1" applyFill="1" applyBorder="1" applyAlignment="1" applyProtection="1">
      <alignment horizontal="right"/>
      <protection locked="0"/>
    </xf>
    <xf numFmtId="9" fontId="0" fillId="0" borderId="5" xfId="2" applyFont="1" applyBorder="1"/>
    <xf numFmtId="0" fontId="0" fillId="0" borderId="15" xfId="0" applyBorder="1" applyProtection="1">
      <protection locked="0"/>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A600"/>
      <color rgb="FFBC5090"/>
      <color rgb="FF003F5C"/>
      <color rgb="FF5850B5"/>
      <color rgb="FFFF63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Calculations!$A$38</c:f>
          <c:strCache>
            <c:ptCount val="1"/>
            <c:pt idx="0">
              <c:v>All-in Cost Comparison, 12 years</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Calculations!$E$11</c:f>
              <c:strCache>
                <c:ptCount val="1"/>
                <c:pt idx="0">
                  <c:v>Vehicle Purchase</c:v>
                </c:pt>
              </c:strCache>
            </c:strRef>
          </c:tx>
          <c:spPr>
            <a:solidFill>
              <a:srgbClr val="003F5C"/>
            </a:solidFill>
            <a:ln>
              <a:solidFill>
                <a:sysClr val="windowText" lastClr="000000"/>
              </a:solidFill>
            </a:ln>
            <a:effectLst/>
          </c:spPr>
          <c:invertIfNegative val="0"/>
          <c:cat>
            <c:strRef>
              <c:f>(Calculations!$C$29,Calculations!$C$19)</c:f>
              <c:strCache>
                <c:ptCount val="2"/>
                <c:pt idx="0">
                  <c:v>ICEV</c:v>
                </c:pt>
                <c:pt idx="1">
                  <c:v>EV</c:v>
                </c:pt>
              </c:strCache>
            </c:strRef>
          </c:cat>
          <c:val>
            <c:numRef>
              <c:f>(Calculations!$G$11,Calculations!$G$43)</c:f>
              <c:numCache>
                <c:formatCode>#,##0</c:formatCode>
                <c:ptCount val="2"/>
                <c:pt idx="0">
                  <c:v>0</c:v>
                </c:pt>
                <c:pt idx="1">
                  <c:v>0</c:v>
                </c:pt>
              </c:numCache>
            </c:numRef>
          </c:val>
        </c:ser>
        <c:ser>
          <c:idx val="1"/>
          <c:order val="1"/>
          <c:tx>
            <c:strRef>
              <c:f>Calculations!$E$8</c:f>
              <c:strCache>
                <c:ptCount val="1"/>
                <c:pt idx="0">
                  <c:v>Fuel</c:v>
                </c:pt>
              </c:strCache>
            </c:strRef>
          </c:tx>
          <c:spPr>
            <a:solidFill>
              <a:srgbClr val="5850B5"/>
            </a:solidFill>
            <a:ln>
              <a:solidFill>
                <a:schemeClr val="tx1"/>
              </a:solidFill>
            </a:ln>
            <a:effectLst/>
          </c:spPr>
          <c:invertIfNegative val="0"/>
          <c:cat>
            <c:strRef>
              <c:f>(Calculations!$C$29,Calculations!$C$19)</c:f>
              <c:strCache>
                <c:ptCount val="2"/>
                <c:pt idx="0">
                  <c:v>ICEV</c:v>
                </c:pt>
                <c:pt idx="1">
                  <c:v>EV</c:v>
                </c:pt>
              </c:strCache>
            </c:strRef>
          </c:cat>
          <c:val>
            <c:numRef>
              <c:f>(Calculations!$G$13,Calculations!$H$19)</c:f>
              <c:numCache>
                <c:formatCode>General</c:formatCode>
                <c:ptCount val="2"/>
                <c:pt idx="0" formatCode="#,##0">
                  <c:v>0</c:v>
                </c:pt>
              </c:numCache>
            </c:numRef>
          </c:val>
        </c:ser>
        <c:ser>
          <c:idx val="2"/>
          <c:order val="2"/>
          <c:tx>
            <c:strRef>
              <c:f>Calculations!$E$38</c:f>
              <c:strCache>
                <c:ptCount val="1"/>
                <c:pt idx="0">
                  <c:v>Electricity</c:v>
                </c:pt>
              </c:strCache>
            </c:strRef>
          </c:tx>
          <c:spPr>
            <a:solidFill>
              <a:srgbClr val="BC5090"/>
            </a:solidFill>
            <a:ln>
              <a:solidFill>
                <a:sysClr val="windowText" lastClr="000000"/>
              </a:solidFill>
            </a:ln>
            <a:effectLst/>
          </c:spPr>
          <c:invertIfNegative val="0"/>
          <c:cat>
            <c:strRef>
              <c:f>(Calculations!$C$29,Calculations!$C$19)</c:f>
              <c:strCache>
                <c:ptCount val="2"/>
                <c:pt idx="0">
                  <c:v>ICEV</c:v>
                </c:pt>
                <c:pt idx="1">
                  <c:v>EV</c:v>
                </c:pt>
              </c:strCache>
            </c:strRef>
          </c:cat>
          <c:val>
            <c:numRef>
              <c:f>(Calculations!$H$41,Calculations!$G$45)</c:f>
              <c:numCache>
                <c:formatCode>#,##0</c:formatCode>
                <c:ptCount val="2"/>
                <c:pt idx="1">
                  <c:v>0</c:v>
                </c:pt>
              </c:numCache>
            </c:numRef>
          </c:val>
        </c:ser>
        <c:ser>
          <c:idx val="3"/>
          <c:order val="3"/>
          <c:tx>
            <c:strRef>
              <c:f>Calculations!$E$9</c:f>
              <c:strCache>
                <c:ptCount val="1"/>
                <c:pt idx="0">
                  <c:v>Maintenance</c:v>
                </c:pt>
              </c:strCache>
            </c:strRef>
          </c:tx>
          <c:spPr>
            <a:solidFill>
              <a:srgbClr val="FF6361"/>
            </a:solidFill>
            <a:ln>
              <a:solidFill>
                <a:sysClr val="windowText" lastClr="000000"/>
              </a:solidFill>
            </a:ln>
            <a:effectLst/>
          </c:spPr>
          <c:invertIfNegative val="0"/>
          <c:cat>
            <c:strRef>
              <c:f>(Calculations!$C$29,Calculations!$C$19)</c:f>
              <c:strCache>
                <c:ptCount val="2"/>
                <c:pt idx="0">
                  <c:v>ICEV</c:v>
                </c:pt>
                <c:pt idx="1">
                  <c:v>EV</c:v>
                </c:pt>
              </c:strCache>
            </c:strRef>
          </c:cat>
          <c:val>
            <c:numRef>
              <c:f>(Calculations!$G$14,Calculations!$G$48)</c:f>
              <c:numCache>
                <c:formatCode>#,##0</c:formatCode>
                <c:ptCount val="2"/>
                <c:pt idx="0">
                  <c:v>0</c:v>
                </c:pt>
                <c:pt idx="1">
                  <c:v>0</c:v>
                </c:pt>
              </c:numCache>
            </c:numRef>
          </c:val>
          <c:extLst/>
        </c:ser>
        <c:ser>
          <c:idx val="5"/>
          <c:order val="4"/>
          <c:tx>
            <c:strRef>
              <c:f>Calculations!$E$36</c:f>
              <c:strCache>
                <c:ptCount val="1"/>
                <c:pt idx="0">
                  <c:v>Electrical Upgrade</c:v>
                </c:pt>
              </c:strCache>
            </c:strRef>
          </c:tx>
          <c:spPr>
            <a:solidFill>
              <a:srgbClr val="FFA600"/>
            </a:solidFill>
            <a:ln w="12700">
              <a:solidFill>
                <a:schemeClr val="tx1"/>
              </a:solidFill>
            </a:ln>
            <a:effectLst/>
          </c:spPr>
          <c:invertIfNegative val="0"/>
          <c:val>
            <c:numRef>
              <c:f>(Calculations!$H$36,Calculations!$G$36)</c:f>
              <c:numCache>
                <c:formatCode>#,##0</c:formatCode>
                <c:ptCount val="2"/>
                <c:pt idx="1">
                  <c:v>0</c:v>
                </c:pt>
              </c:numCache>
            </c:numRef>
          </c:val>
        </c:ser>
        <c:dLbls>
          <c:showLegendKey val="0"/>
          <c:showVal val="0"/>
          <c:showCatName val="0"/>
          <c:showSerName val="0"/>
          <c:showPercent val="0"/>
          <c:showBubbleSize val="0"/>
        </c:dLbls>
        <c:gapWidth val="150"/>
        <c:overlap val="100"/>
        <c:axId val="-2135629696"/>
        <c:axId val="-2135641120"/>
      </c:barChart>
      <c:lineChart>
        <c:grouping val="standard"/>
        <c:varyColors val="0"/>
        <c:ser>
          <c:idx val="4"/>
          <c:order val="5"/>
          <c:tx>
            <c:v>Label</c:v>
          </c:tx>
          <c:spPr>
            <a:ln w="28575" cap="rnd">
              <a:no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Calculations!$F$65:$F$66</c:f>
              <c:numCache>
                <c:formatCode>"$"#,##0</c:formatCode>
                <c:ptCount val="2"/>
                <c:pt idx="0">
                  <c:v>0</c:v>
                </c:pt>
                <c:pt idx="1">
                  <c:v>0</c:v>
                </c:pt>
              </c:numCache>
            </c:numRef>
          </c:val>
          <c:smooth val="0"/>
        </c:ser>
        <c:dLbls>
          <c:showLegendKey val="0"/>
          <c:showVal val="0"/>
          <c:showCatName val="0"/>
          <c:showSerName val="0"/>
          <c:showPercent val="0"/>
          <c:showBubbleSize val="0"/>
        </c:dLbls>
        <c:marker val="1"/>
        <c:smooth val="0"/>
        <c:axId val="-2135629696"/>
        <c:axId val="-2135641120"/>
      </c:lineChart>
      <c:catAx>
        <c:axId val="-213562969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41120"/>
        <c:crosses val="autoZero"/>
        <c:auto val="1"/>
        <c:lblAlgn val="ctr"/>
        <c:lblOffset val="100"/>
        <c:noMultiLvlLbl val="0"/>
      </c:catAx>
      <c:valAx>
        <c:axId val="-2135641120"/>
        <c:scaling>
          <c:orientation val="minMax"/>
        </c:scaling>
        <c:delete val="0"/>
        <c:axPos val="l"/>
        <c:majorGridlines>
          <c:spPr>
            <a:ln w="9525" cap="flat" cmpd="sng" algn="ctr">
              <a:solidFill>
                <a:schemeClr val="bg2">
                  <a:lumMod val="90000"/>
                </a:schemeClr>
              </a:solidFill>
              <a:round/>
            </a:ln>
            <a:effectLst/>
          </c:spPr>
        </c:majorGridlines>
        <c:title>
          <c:tx>
            <c:strRef>
              <c:f>Calculations!$A$44</c:f>
              <c:strCache>
                <c:ptCount val="1"/>
                <c:pt idx="0">
                  <c:v>Cost ($)</c:v>
                </c:pt>
              </c:strCache>
            </c:strRef>
          </c:tx>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29696"/>
        <c:crosses val="autoZero"/>
        <c:crossBetween val="between"/>
      </c:valAx>
      <c:spPr>
        <a:noFill/>
        <a:ln>
          <a:noFill/>
        </a:ln>
        <a:effectLst/>
      </c:spPr>
    </c:plotArea>
    <c:legend>
      <c:legendPos val="b"/>
      <c:legendEntry>
        <c:idx val="5"/>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0"/>
    <c:dispBlanksAs val="gap"/>
    <c:showDLblsOverMax val="0"/>
  </c:chart>
  <c:spPr>
    <a:solidFill>
      <a:schemeClr val="bg1"/>
    </a:solidFill>
    <a:ln w="9525" cap="flat" cmpd="sng" algn="ctr">
      <a:solidFill>
        <a:sysClr val="windowText" lastClr="000000"/>
      </a:solidFill>
      <a:round/>
    </a:ln>
    <a:effectLst/>
  </c:spPr>
  <c:txPr>
    <a:bodyPr/>
    <a:lstStyle/>
    <a:p>
      <a:pPr>
        <a:defRPr sz="11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Calculations!$A$39</c:f>
          <c:strCache>
            <c:ptCount val="1"/>
            <c:pt idx="0">
              <c:v>Loan Schedule Comparison (4 year, 5% interest with a 10% down-payment)</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4"/>
          <c:order val="0"/>
          <c:tx>
            <c:strRef>
              <c:f>Calculations!$E$37</c:f>
              <c:strCache>
                <c:ptCount val="1"/>
                <c:pt idx="0">
                  <c:v>Subsidy</c:v>
                </c:pt>
              </c:strCache>
            </c:strRef>
          </c:tx>
          <c:spPr>
            <a:solidFill>
              <a:srgbClr val="003F5C"/>
            </a:solidFill>
            <a:ln w="12700">
              <a:solidFill>
                <a:schemeClr val="tx1"/>
              </a:solidFill>
            </a:ln>
            <a:effectLst/>
          </c:spPr>
          <c:invertIfNegative val="0"/>
          <c:val>
            <c:numRef>
              <c:f>(Calculations!$H$37,Calculations!$G$37)</c:f>
              <c:numCache>
                <c:formatCode>#,##0</c:formatCode>
                <c:ptCount val="2"/>
                <c:pt idx="1">
                  <c:v>0</c:v>
                </c:pt>
              </c:numCache>
            </c:numRef>
          </c:val>
        </c:ser>
        <c:ser>
          <c:idx val="0"/>
          <c:order val="1"/>
          <c:tx>
            <c:strRef>
              <c:f>Calculations!$E$5</c:f>
              <c:strCache>
                <c:ptCount val="1"/>
                <c:pt idx="0">
                  <c:v>Down Payment</c:v>
                </c:pt>
              </c:strCache>
            </c:strRef>
          </c:tx>
          <c:spPr>
            <a:solidFill>
              <a:srgbClr val="5850B5"/>
            </a:solidFill>
            <a:ln>
              <a:solidFill>
                <a:schemeClr val="tx1"/>
              </a:solidFill>
            </a:ln>
            <a:effectLst/>
          </c:spPr>
          <c:invertIfNegative val="0"/>
          <c:cat>
            <c:strRef>
              <c:f>(Calculations!$C$29,Calculations!$C$19)</c:f>
              <c:strCache>
                <c:ptCount val="2"/>
                <c:pt idx="0">
                  <c:v>ICEV</c:v>
                </c:pt>
                <c:pt idx="1">
                  <c:v>EV</c:v>
                </c:pt>
              </c:strCache>
            </c:strRef>
          </c:cat>
          <c:val>
            <c:numRef>
              <c:f>(Calculations!$G$5,Calculations!$G$33)</c:f>
              <c:numCache>
                <c:formatCode>#,##0</c:formatCode>
                <c:ptCount val="2"/>
                <c:pt idx="0">
                  <c:v>0</c:v>
                </c:pt>
                <c:pt idx="1">
                  <c:v>0</c:v>
                </c:pt>
              </c:numCache>
            </c:numRef>
          </c:val>
        </c:ser>
        <c:ser>
          <c:idx val="1"/>
          <c:order val="2"/>
          <c:tx>
            <c:strRef>
              <c:f>Calculations!$E$6</c:f>
              <c:strCache>
                <c:ptCount val="1"/>
                <c:pt idx="0">
                  <c:v>Loan Principal</c:v>
                </c:pt>
              </c:strCache>
            </c:strRef>
          </c:tx>
          <c:spPr>
            <a:solidFill>
              <a:srgbClr val="BC5090"/>
            </a:solidFill>
            <a:ln>
              <a:solidFill>
                <a:schemeClr val="tx1"/>
              </a:solidFill>
            </a:ln>
            <a:effectLst/>
          </c:spPr>
          <c:invertIfNegative val="0"/>
          <c:cat>
            <c:strRef>
              <c:f>(Calculations!$C$29,Calculations!$C$19)</c:f>
              <c:strCache>
                <c:ptCount val="2"/>
                <c:pt idx="0">
                  <c:v>ICEV</c:v>
                </c:pt>
                <c:pt idx="1">
                  <c:v>EV</c:v>
                </c:pt>
              </c:strCache>
            </c:strRef>
          </c:cat>
          <c:val>
            <c:numRef>
              <c:f>(Calculations!$G$6,Calculations!$G$34)</c:f>
              <c:numCache>
                <c:formatCode>#,##0</c:formatCode>
                <c:ptCount val="2"/>
                <c:pt idx="0">
                  <c:v>0</c:v>
                </c:pt>
                <c:pt idx="1">
                  <c:v>0</c:v>
                </c:pt>
              </c:numCache>
            </c:numRef>
          </c:val>
        </c:ser>
        <c:ser>
          <c:idx val="2"/>
          <c:order val="3"/>
          <c:tx>
            <c:strRef>
              <c:f>Calculations!$E$12</c:f>
              <c:strCache>
                <c:ptCount val="1"/>
                <c:pt idx="0">
                  <c:v>Loan Interest</c:v>
                </c:pt>
              </c:strCache>
            </c:strRef>
          </c:tx>
          <c:spPr>
            <a:solidFill>
              <a:srgbClr val="FFA600"/>
            </a:solidFill>
            <a:ln>
              <a:solidFill>
                <a:schemeClr val="tx1"/>
              </a:solidFill>
            </a:ln>
            <a:effectLst/>
          </c:spPr>
          <c:invertIfNegative val="0"/>
          <c:cat>
            <c:strRef>
              <c:f>(Calculations!$C$29,Calculations!$C$19)</c:f>
              <c:strCache>
                <c:ptCount val="2"/>
                <c:pt idx="0">
                  <c:v>ICEV</c:v>
                </c:pt>
                <c:pt idx="1">
                  <c:v>EV</c:v>
                </c:pt>
              </c:strCache>
            </c:strRef>
          </c:cat>
          <c:val>
            <c:numRef>
              <c:f>(Calculations!$G$12,Calculations!$G$44)</c:f>
              <c:numCache>
                <c:formatCode>#,##0</c:formatCode>
                <c:ptCount val="2"/>
                <c:pt idx="0">
                  <c:v>0</c:v>
                </c:pt>
                <c:pt idx="1">
                  <c:v>0</c:v>
                </c:pt>
              </c:numCache>
            </c:numRef>
          </c:val>
        </c:ser>
        <c:dLbls>
          <c:showLegendKey val="0"/>
          <c:showVal val="0"/>
          <c:showCatName val="0"/>
          <c:showSerName val="0"/>
          <c:showPercent val="0"/>
          <c:showBubbleSize val="0"/>
        </c:dLbls>
        <c:gapWidth val="150"/>
        <c:overlap val="100"/>
        <c:axId val="-2135643840"/>
        <c:axId val="-2135643296"/>
      </c:barChart>
      <c:lineChart>
        <c:grouping val="standard"/>
        <c:varyColors val="0"/>
        <c:ser>
          <c:idx val="3"/>
          <c:order val="4"/>
          <c:tx>
            <c:v>Label</c:v>
          </c:tx>
          <c:spPr>
            <a:ln w="2540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(Calculations!$C$29,Calculations!$C$19)</c:f>
              <c:strCache>
                <c:ptCount val="2"/>
                <c:pt idx="0">
                  <c:v>ICEV</c:v>
                </c:pt>
                <c:pt idx="1">
                  <c:v>EV</c:v>
                </c:pt>
              </c:strCache>
            </c:strRef>
          </c:cat>
          <c:val>
            <c:numRef>
              <c:f>(Calculations!$G$11,Calculations!$G$43)</c:f>
              <c:numCache>
                <c:formatCode>#,##0</c:formatCode>
                <c:ptCount val="2"/>
                <c:pt idx="0">
                  <c:v>0</c:v>
                </c:pt>
                <c:pt idx="1">
                  <c:v>0</c:v>
                </c:pt>
              </c:numCache>
            </c:numRef>
          </c:val>
          <c:smooth val="0"/>
        </c:ser>
        <c:dLbls>
          <c:showLegendKey val="0"/>
          <c:showVal val="0"/>
          <c:showCatName val="0"/>
          <c:showSerName val="0"/>
          <c:showPercent val="0"/>
          <c:showBubbleSize val="0"/>
        </c:dLbls>
        <c:marker val="1"/>
        <c:smooth val="0"/>
        <c:axId val="-2135643840"/>
        <c:axId val="-2135643296"/>
      </c:lineChart>
      <c:catAx>
        <c:axId val="-213564384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43296"/>
        <c:crosses val="autoZero"/>
        <c:auto val="1"/>
        <c:lblAlgn val="ctr"/>
        <c:lblOffset val="100"/>
        <c:noMultiLvlLbl val="0"/>
      </c:catAx>
      <c:valAx>
        <c:axId val="-2135643296"/>
        <c:scaling>
          <c:orientation val="minMax"/>
        </c:scaling>
        <c:delete val="0"/>
        <c:axPos val="l"/>
        <c:majorGridlines>
          <c:spPr>
            <a:ln w="9525" cap="flat" cmpd="sng" algn="ctr">
              <a:solidFill>
                <a:schemeClr val="bg2">
                  <a:lumMod val="90000"/>
                </a:schemeClr>
              </a:solidFill>
              <a:round/>
            </a:ln>
            <a:effectLst/>
          </c:spPr>
        </c:majorGridlines>
        <c:title>
          <c:tx>
            <c:strRef>
              <c:f>Calculations!$A$44</c:f>
              <c:strCache>
                <c:ptCount val="1"/>
                <c:pt idx="0">
                  <c:v>Cost ($)</c:v>
                </c:pt>
              </c:strCache>
            </c:strRef>
          </c:tx>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43840"/>
        <c:crosses val="autoZero"/>
        <c:crossBetween val="between"/>
      </c:valAx>
      <c:spPr>
        <a:noFill/>
        <a:ln>
          <a:noFill/>
        </a:ln>
        <a:effectLst/>
      </c:spPr>
    </c:plotArea>
    <c:legend>
      <c:legendPos val="b"/>
      <c:legendEntry>
        <c:idx val="4"/>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0"/>
    <c:dispBlanksAs val="gap"/>
    <c:showDLblsOverMax val="0"/>
  </c:chart>
  <c:spPr>
    <a:solidFill>
      <a:schemeClr val="bg1"/>
    </a:solidFill>
    <a:ln w="9525" cap="flat" cmpd="sng" algn="ctr">
      <a:solidFill>
        <a:sysClr val="windowText" lastClr="000000"/>
      </a:solidFill>
      <a:round/>
    </a:ln>
    <a:effectLst/>
  </c:spPr>
  <c:txPr>
    <a:bodyPr/>
    <a:lstStyle/>
    <a:p>
      <a:pPr>
        <a:defRPr sz="11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Calculations!$A$40</c:f>
          <c:strCache>
            <c:ptCount val="1"/>
            <c:pt idx="0">
              <c:v>Lifecycle Emissions Comparison, 12 years</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Calculations!$E$17</c:f>
              <c:strCache>
                <c:ptCount val="1"/>
                <c:pt idx="0">
                  <c:v>Manufacturing</c:v>
                </c:pt>
              </c:strCache>
            </c:strRef>
          </c:tx>
          <c:spPr>
            <a:solidFill>
              <a:srgbClr val="003F5C"/>
            </a:solidFill>
            <a:ln>
              <a:solidFill>
                <a:sysClr val="windowText" lastClr="000000"/>
              </a:solidFill>
            </a:ln>
            <a:effectLst/>
          </c:spPr>
          <c:invertIfNegative val="0"/>
          <c:cat>
            <c:strRef>
              <c:f>(Calculations!$C$29,Calculations!$C$19)</c:f>
              <c:strCache>
                <c:ptCount val="2"/>
                <c:pt idx="0">
                  <c:v>ICEV</c:v>
                </c:pt>
                <c:pt idx="1">
                  <c:v>EV</c:v>
                </c:pt>
              </c:strCache>
            </c:strRef>
          </c:cat>
          <c:val>
            <c:numRef>
              <c:f>(Calculations!$G$17,Calculations!$G$51)</c:f>
              <c:numCache>
                <c:formatCode>#,##0</c:formatCode>
                <c:ptCount val="2"/>
                <c:pt idx="0">
                  <c:v>0</c:v>
                </c:pt>
                <c:pt idx="1">
                  <c:v>0</c:v>
                </c:pt>
              </c:numCache>
            </c:numRef>
          </c:val>
        </c:ser>
        <c:ser>
          <c:idx val="1"/>
          <c:order val="1"/>
          <c:tx>
            <c:strRef>
              <c:f>Calculations!$E$18</c:f>
              <c:strCache>
                <c:ptCount val="1"/>
                <c:pt idx="0">
                  <c:v>Fuel</c:v>
                </c:pt>
              </c:strCache>
            </c:strRef>
          </c:tx>
          <c:spPr>
            <a:solidFill>
              <a:srgbClr val="5850B5"/>
            </a:solidFill>
            <a:ln>
              <a:solidFill>
                <a:schemeClr val="tx1"/>
              </a:solidFill>
            </a:ln>
            <a:effectLst/>
          </c:spPr>
          <c:invertIfNegative val="0"/>
          <c:cat>
            <c:strRef>
              <c:f>(Calculations!$C$29,Calculations!$C$19)</c:f>
              <c:strCache>
                <c:ptCount val="2"/>
                <c:pt idx="0">
                  <c:v>ICEV</c:v>
                </c:pt>
                <c:pt idx="1">
                  <c:v>EV</c:v>
                </c:pt>
              </c:strCache>
            </c:strRef>
          </c:cat>
          <c:val>
            <c:numRef>
              <c:f>Calculations!$G$20:$H$20</c:f>
              <c:numCache>
                <c:formatCode>General</c:formatCode>
                <c:ptCount val="2"/>
                <c:pt idx="0" formatCode="#,##0">
                  <c:v>0</c:v>
                </c:pt>
              </c:numCache>
            </c:numRef>
          </c:val>
          <c:extLst/>
        </c:ser>
        <c:ser>
          <c:idx val="2"/>
          <c:order val="2"/>
          <c:tx>
            <c:strRef>
              <c:f>Calculations!$E$38</c:f>
              <c:strCache>
                <c:ptCount val="1"/>
                <c:pt idx="0">
                  <c:v>Electricity</c:v>
                </c:pt>
              </c:strCache>
            </c:strRef>
          </c:tx>
          <c:spPr>
            <a:solidFill>
              <a:srgbClr val="BC5090"/>
            </a:solidFill>
            <a:ln>
              <a:solidFill>
                <a:sysClr val="windowText" lastClr="000000"/>
              </a:solidFill>
            </a:ln>
            <a:effectLst/>
          </c:spPr>
          <c:invertIfNegative val="0"/>
          <c:cat>
            <c:strRef>
              <c:f>(Calculations!$C$29,Calculations!$C$19)</c:f>
              <c:strCache>
                <c:ptCount val="2"/>
                <c:pt idx="0">
                  <c:v>ICEV</c:v>
                </c:pt>
                <c:pt idx="1">
                  <c:v>EV</c:v>
                </c:pt>
              </c:strCache>
            </c:strRef>
          </c:cat>
          <c:val>
            <c:numRef>
              <c:f>(Calculations!$H$52,Calculations!$G$56)</c:f>
              <c:numCache>
                <c:formatCode>#,##0</c:formatCode>
                <c:ptCount val="2"/>
                <c:pt idx="1">
                  <c:v>0</c:v>
                </c:pt>
              </c:numCache>
            </c:numRef>
          </c:val>
          <c:extLst/>
        </c:ser>
        <c:dLbls>
          <c:showLegendKey val="0"/>
          <c:showVal val="0"/>
          <c:showCatName val="0"/>
          <c:showSerName val="0"/>
          <c:showPercent val="0"/>
          <c:showBubbleSize val="0"/>
        </c:dLbls>
        <c:gapWidth val="150"/>
        <c:overlap val="100"/>
        <c:axId val="-2135641664"/>
        <c:axId val="-2135635136"/>
      </c:barChart>
      <c:lineChart>
        <c:grouping val="standard"/>
        <c:varyColors val="0"/>
        <c:ser>
          <c:idx val="3"/>
          <c:order val="3"/>
          <c:tx>
            <c:v>Label</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Calculations!$F$67:$F$68</c:f>
              <c:numCache>
                <c:formatCode>#,##0</c:formatCode>
                <c:ptCount val="2"/>
                <c:pt idx="0">
                  <c:v>0</c:v>
                </c:pt>
                <c:pt idx="1">
                  <c:v>0</c:v>
                </c:pt>
              </c:numCache>
            </c:numRef>
          </c:val>
          <c:smooth val="0"/>
        </c:ser>
        <c:dLbls>
          <c:showLegendKey val="0"/>
          <c:showVal val="0"/>
          <c:showCatName val="0"/>
          <c:showSerName val="0"/>
          <c:showPercent val="0"/>
          <c:showBubbleSize val="0"/>
        </c:dLbls>
        <c:marker val="1"/>
        <c:smooth val="0"/>
        <c:axId val="-2135641664"/>
        <c:axId val="-2135635136"/>
      </c:lineChart>
      <c:catAx>
        <c:axId val="-213564166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35136"/>
        <c:crosses val="autoZero"/>
        <c:auto val="1"/>
        <c:lblAlgn val="ctr"/>
        <c:lblOffset val="100"/>
        <c:noMultiLvlLbl val="0"/>
      </c:catAx>
      <c:valAx>
        <c:axId val="-2135635136"/>
        <c:scaling>
          <c:orientation val="minMax"/>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r>
                  <a:rPr lang="en-CA"/>
                  <a:t>Emissions (kgCO</a:t>
                </a:r>
                <a:r>
                  <a:rPr lang="en-CA" baseline="-25000"/>
                  <a:t>2</a:t>
                </a:r>
                <a:r>
                  <a:rPr lang="en-CA"/>
                  <a:t>e)</a:t>
                </a:r>
              </a:p>
            </c:rich>
          </c:tx>
          <c:layout>
            <c:manualLayout>
              <c:xMode val="edge"/>
              <c:yMode val="edge"/>
              <c:x val="1.4044336212302088E-2"/>
              <c:y val="0.2697477777777777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135641664"/>
        <c:crosses val="autoZero"/>
        <c:crossBetween val="between"/>
      </c:valAx>
      <c:spPr>
        <a:noFill/>
        <a:ln>
          <a:noFill/>
        </a:ln>
        <a:effectLst/>
      </c:spPr>
    </c:plotArea>
    <c:legend>
      <c:legendPos val="b"/>
      <c:legendEntry>
        <c:idx val="3"/>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0"/>
    <c:dispBlanksAs val="gap"/>
    <c:showDLblsOverMax val="0"/>
  </c:chart>
  <c:spPr>
    <a:solidFill>
      <a:schemeClr val="bg1"/>
    </a:solidFill>
    <a:ln w="9525" cap="flat" cmpd="sng" algn="ctr">
      <a:solidFill>
        <a:sysClr val="windowText" lastClr="000000"/>
      </a:solidFill>
      <a:round/>
    </a:ln>
    <a:effectLst/>
  </c:spPr>
  <c:txPr>
    <a:bodyPr/>
    <a:lstStyle/>
    <a:p>
      <a:pPr>
        <a:defRPr sz="11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Calculations!$A$41</c:f>
          <c:strCache>
            <c:ptCount val="1"/>
            <c:pt idx="0">
              <c:v>EV Seasonal Performance
(1667 km per month)</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Calculations!$E$28</c:f>
              <c:strCache>
                <c:ptCount val="1"/>
                <c:pt idx="0">
                  <c:v>Propulsion</c:v>
                </c:pt>
              </c:strCache>
            </c:strRef>
          </c:tx>
          <c:spPr>
            <a:solidFill>
              <a:srgbClr val="003F5C"/>
            </a:solidFill>
            <a:ln>
              <a:solidFill>
                <a:sysClr val="windowText" lastClr="000000"/>
              </a:solidFill>
            </a:ln>
            <a:effectLst/>
          </c:spPr>
          <c:invertIfNegative val="0"/>
          <c:cat>
            <c:strRef>
              <c:f>Calculations!$H$24:$K$24</c:f>
              <c:strCache>
                <c:ptCount val="4"/>
                <c:pt idx="0">
                  <c:v>Winter
(°C)</c:v>
                </c:pt>
                <c:pt idx="1">
                  <c:v>Spring
(°C)</c:v>
                </c:pt>
                <c:pt idx="2">
                  <c:v>Summer
(°C)</c:v>
                </c:pt>
                <c:pt idx="3">
                  <c:v>Fall
(°C)</c:v>
                </c:pt>
              </c:strCache>
            </c:strRef>
          </c:cat>
          <c:val>
            <c:numRef>
              <c:f>Calculations!$H$28:$K$28</c:f>
              <c:numCache>
                <c:formatCode>#,##0</c:formatCode>
                <c:ptCount val="4"/>
                <c:pt idx="0">
                  <c:v>0</c:v>
                </c:pt>
                <c:pt idx="1">
                  <c:v>0</c:v>
                </c:pt>
                <c:pt idx="2">
                  <c:v>0</c:v>
                </c:pt>
                <c:pt idx="3">
                  <c:v>0</c:v>
                </c:pt>
              </c:numCache>
            </c:numRef>
          </c:val>
        </c:ser>
        <c:ser>
          <c:idx val="1"/>
          <c:order val="1"/>
          <c:tx>
            <c:strRef>
              <c:f>Calculations!$E$29</c:f>
              <c:strCache>
                <c:ptCount val="1"/>
                <c:pt idx="0">
                  <c:v>Heating</c:v>
                </c:pt>
              </c:strCache>
            </c:strRef>
          </c:tx>
          <c:spPr>
            <a:solidFill>
              <a:srgbClr val="BC5090"/>
            </a:solidFill>
            <a:ln>
              <a:solidFill>
                <a:sysClr val="windowText" lastClr="000000"/>
              </a:solidFill>
            </a:ln>
            <a:effectLst/>
          </c:spPr>
          <c:invertIfNegative val="0"/>
          <c:cat>
            <c:strRef>
              <c:f>Calculations!$H$24:$K$24</c:f>
              <c:strCache>
                <c:ptCount val="4"/>
                <c:pt idx="0">
                  <c:v>Winter
(°C)</c:v>
                </c:pt>
                <c:pt idx="1">
                  <c:v>Spring
(°C)</c:v>
                </c:pt>
                <c:pt idx="2">
                  <c:v>Summer
(°C)</c:v>
                </c:pt>
                <c:pt idx="3">
                  <c:v>Fall
(°C)</c:v>
                </c:pt>
              </c:strCache>
            </c:strRef>
          </c:cat>
          <c:val>
            <c:numRef>
              <c:f>Calculations!$H$29:$K$29</c:f>
              <c:numCache>
                <c:formatCode>#,##0</c:formatCode>
                <c:ptCount val="4"/>
                <c:pt idx="0">
                  <c:v>0</c:v>
                </c:pt>
                <c:pt idx="1">
                  <c:v>0</c:v>
                </c:pt>
                <c:pt idx="2">
                  <c:v>0</c:v>
                </c:pt>
                <c:pt idx="3">
                  <c:v>0</c:v>
                </c:pt>
              </c:numCache>
            </c:numRef>
          </c:val>
          <c:extLst/>
        </c:ser>
        <c:dLbls>
          <c:showLegendKey val="0"/>
          <c:showVal val="0"/>
          <c:showCatName val="0"/>
          <c:showSerName val="0"/>
          <c:showPercent val="0"/>
          <c:showBubbleSize val="0"/>
        </c:dLbls>
        <c:gapWidth val="150"/>
        <c:overlap val="100"/>
        <c:axId val="-2060564640"/>
        <c:axId val="-2060558112"/>
      </c:barChart>
      <c:lineChart>
        <c:grouping val="standard"/>
        <c:varyColors val="0"/>
        <c:ser>
          <c:idx val="2"/>
          <c:order val="2"/>
          <c:tx>
            <c:v>Label</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Calculations!$H$27:$K$27</c:f>
              <c:numCache>
                <c:formatCode>#,##0</c:formatCode>
                <c:ptCount val="4"/>
                <c:pt idx="0">
                  <c:v>0</c:v>
                </c:pt>
                <c:pt idx="1">
                  <c:v>0</c:v>
                </c:pt>
                <c:pt idx="2">
                  <c:v>0</c:v>
                </c:pt>
                <c:pt idx="3">
                  <c:v>0</c:v>
                </c:pt>
              </c:numCache>
            </c:numRef>
          </c:val>
          <c:smooth val="0"/>
        </c:ser>
        <c:dLbls>
          <c:showLegendKey val="0"/>
          <c:showVal val="0"/>
          <c:showCatName val="0"/>
          <c:showSerName val="0"/>
          <c:showPercent val="0"/>
          <c:showBubbleSize val="0"/>
        </c:dLbls>
        <c:marker val="1"/>
        <c:smooth val="0"/>
        <c:axId val="-2060564640"/>
        <c:axId val="-2060558112"/>
      </c:lineChart>
      <c:catAx>
        <c:axId val="-206056464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060558112"/>
        <c:crosses val="autoZero"/>
        <c:auto val="1"/>
        <c:lblAlgn val="ctr"/>
        <c:lblOffset val="100"/>
        <c:noMultiLvlLbl val="0"/>
      </c:catAx>
      <c:valAx>
        <c:axId val="-2060558112"/>
        <c:scaling>
          <c:orientation val="minMax"/>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r>
                  <a:rPr lang="en-CA"/>
                  <a:t>Electricity Consumption (kWh/year)</a:t>
                </a:r>
              </a:p>
            </c:rich>
          </c:tx>
          <c:layout>
            <c:manualLayout>
              <c:xMode val="edge"/>
              <c:yMode val="edge"/>
              <c:x val="1.4038546790230307E-2"/>
              <c:y val="0.183576954520029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060564640"/>
        <c:crosses val="autoZero"/>
        <c:crossBetween val="between"/>
      </c:valAx>
      <c:spPr>
        <a:noFill/>
        <a:ln>
          <a:noFill/>
        </a:ln>
        <a:effectLst/>
      </c:spPr>
    </c:plotArea>
    <c:legend>
      <c:legendPos val="b"/>
      <c:legendEntry>
        <c:idx val="2"/>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0"/>
    <c:dispBlanksAs val="gap"/>
    <c:showDLblsOverMax val="0"/>
  </c:chart>
  <c:spPr>
    <a:solidFill>
      <a:schemeClr val="bg1"/>
    </a:solidFill>
    <a:ln w="9525" cap="flat" cmpd="sng" algn="ctr">
      <a:solidFill>
        <a:sysClr val="windowText" lastClr="000000"/>
      </a:solidFill>
      <a:round/>
    </a:ln>
    <a:effectLst/>
  </c:spPr>
  <c:txPr>
    <a:bodyPr/>
    <a:lstStyle/>
    <a:p>
      <a:pPr>
        <a:defRPr sz="11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Calculations!$A$42</c:f>
          <c:strCache>
            <c:ptCount val="1"/>
            <c:pt idx="0">
              <c:v>Energy Efficiency Comparison
(1 L of Fuel contains 8 - 10 kWh of energy)</c:v>
            </c:pt>
          </c:strCache>
        </c:strRef>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Narrow" panose="020B0606020202030204" pitchFamily="34" charset="0"/>
              <a:ea typeface="+mn-ea"/>
              <a:cs typeface="+mn-cs"/>
            </a:defRPr>
          </a:pPr>
          <a:endParaRPr lang="en-US"/>
        </a:p>
      </c:txPr>
    </c:title>
    <c:autoTitleDeleted val="0"/>
    <c:plotArea>
      <c:layout/>
      <c:barChart>
        <c:barDir val="col"/>
        <c:grouping val="stacked"/>
        <c:varyColors val="0"/>
        <c:ser>
          <c:idx val="0"/>
          <c:order val="0"/>
          <c:tx>
            <c:strRef>
              <c:f>Calculations!$E$23</c:f>
              <c:strCache>
                <c:ptCount val="1"/>
                <c:pt idx="0">
                  <c:v>Propulsion</c:v>
                </c:pt>
              </c:strCache>
            </c:strRef>
          </c:tx>
          <c:spPr>
            <a:solidFill>
              <a:srgbClr val="003F5C"/>
            </a:solidFill>
            <a:ln w="12700">
              <a:solidFill>
                <a:sysClr val="windowText" lastClr="000000"/>
              </a:solidFill>
            </a:ln>
            <a:effectLst/>
          </c:spPr>
          <c:invertIfNegative val="0"/>
          <c:cat>
            <c:strRef>
              <c:f>(Calculations!$C$29,Calculations!$C$19)</c:f>
              <c:strCache>
                <c:ptCount val="2"/>
                <c:pt idx="0">
                  <c:v>ICEV</c:v>
                </c:pt>
                <c:pt idx="1">
                  <c:v>EV</c:v>
                </c:pt>
              </c:strCache>
            </c:strRef>
          </c:cat>
          <c:val>
            <c:numRef>
              <c:f>(Calculations!$G$23,Calculations!$F$61)</c:f>
              <c:numCache>
                <c:formatCode>0.000</c:formatCode>
                <c:ptCount val="2"/>
                <c:pt idx="0" formatCode="0.00">
                  <c:v>0</c:v>
                </c:pt>
                <c:pt idx="1">
                  <c:v>0</c:v>
                </c:pt>
              </c:numCache>
            </c:numRef>
          </c:val>
        </c:ser>
        <c:ser>
          <c:idx val="1"/>
          <c:order val="1"/>
          <c:tx>
            <c:strRef>
              <c:f>Calculations!$E$62</c:f>
              <c:strCache>
                <c:ptCount val="1"/>
                <c:pt idx="0">
                  <c:v>Heating</c:v>
                </c:pt>
              </c:strCache>
            </c:strRef>
          </c:tx>
          <c:spPr>
            <a:solidFill>
              <a:srgbClr val="BC5090"/>
            </a:solidFill>
            <a:ln w="12700">
              <a:solidFill>
                <a:sysClr val="windowText" lastClr="000000"/>
              </a:solidFill>
            </a:ln>
            <a:effectLst/>
          </c:spPr>
          <c:invertIfNegative val="0"/>
          <c:cat>
            <c:strRef>
              <c:f>(Calculations!$C$29,Calculations!$C$19)</c:f>
              <c:strCache>
                <c:ptCount val="2"/>
                <c:pt idx="0">
                  <c:v>ICEV</c:v>
                </c:pt>
                <c:pt idx="1">
                  <c:v>EV</c:v>
                </c:pt>
              </c:strCache>
            </c:strRef>
          </c:cat>
          <c:val>
            <c:numRef>
              <c:f>(Calculations!$G$62,Calculations!$F$62)</c:f>
              <c:numCache>
                <c:formatCode>0.000</c:formatCode>
                <c:ptCount val="2"/>
                <c:pt idx="1">
                  <c:v>0</c:v>
                </c:pt>
              </c:numCache>
            </c:numRef>
          </c:val>
        </c:ser>
        <c:ser>
          <c:idx val="2"/>
          <c:order val="2"/>
          <c:tx>
            <c:strRef>
              <c:f>Calculations!$E$63</c:f>
              <c:strCache>
                <c:ptCount val="1"/>
                <c:pt idx="0">
                  <c:v>Charging Losses</c:v>
                </c:pt>
              </c:strCache>
            </c:strRef>
          </c:tx>
          <c:spPr>
            <a:solidFill>
              <a:srgbClr val="FFA600"/>
            </a:solidFill>
            <a:ln>
              <a:solidFill>
                <a:schemeClr val="tx1"/>
              </a:solidFill>
            </a:ln>
            <a:effectLst/>
          </c:spPr>
          <c:invertIfNegative val="0"/>
          <c:cat>
            <c:strRef>
              <c:f>(Calculations!$C$29,Calculations!$C$19)</c:f>
              <c:strCache>
                <c:ptCount val="2"/>
                <c:pt idx="0">
                  <c:v>ICEV</c:v>
                </c:pt>
                <c:pt idx="1">
                  <c:v>EV</c:v>
                </c:pt>
              </c:strCache>
            </c:strRef>
          </c:cat>
          <c:val>
            <c:numRef>
              <c:f>(Calculations!$G$63,Calculations!$F$63)</c:f>
              <c:numCache>
                <c:formatCode>0.000</c:formatCode>
                <c:ptCount val="2"/>
                <c:pt idx="1">
                  <c:v>0</c:v>
                </c:pt>
              </c:numCache>
            </c:numRef>
          </c:val>
        </c:ser>
        <c:dLbls>
          <c:showLegendKey val="0"/>
          <c:showVal val="0"/>
          <c:showCatName val="0"/>
          <c:showSerName val="0"/>
          <c:showPercent val="0"/>
          <c:showBubbleSize val="0"/>
        </c:dLbls>
        <c:gapWidth val="150"/>
        <c:overlap val="100"/>
        <c:axId val="-2060558656"/>
        <c:axId val="-2060556480"/>
      </c:barChart>
      <c:lineChart>
        <c:grouping val="standard"/>
        <c:varyColors val="0"/>
        <c:ser>
          <c:idx val="3"/>
          <c:order val="3"/>
          <c:tx>
            <c:v>Label</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Calculations!$F$69:$F$70</c:f>
              <c:numCache>
                <c:formatCode>0</c:formatCode>
                <c:ptCount val="2"/>
                <c:pt idx="0">
                  <c:v>0</c:v>
                </c:pt>
                <c:pt idx="1">
                  <c:v>0</c:v>
                </c:pt>
              </c:numCache>
            </c:numRef>
          </c:val>
          <c:smooth val="0"/>
        </c:ser>
        <c:dLbls>
          <c:showLegendKey val="0"/>
          <c:showVal val="0"/>
          <c:showCatName val="0"/>
          <c:showSerName val="0"/>
          <c:showPercent val="0"/>
          <c:showBubbleSize val="0"/>
        </c:dLbls>
        <c:marker val="1"/>
        <c:smooth val="0"/>
        <c:axId val="-2060558656"/>
        <c:axId val="-2060556480"/>
      </c:lineChart>
      <c:catAx>
        <c:axId val="-206055865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060556480"/>
        <c:crosses val="autoZero"/>
        <c:auto val="1"/>
        <c:lblAlgn val="ctr"/>
        <c:lblOffset val="100"/>
        <c:noMultiLvlLbl val="0"/>
      </c:catAx>
      <c:valAx>
        <c:axId val="-2060556480"/>
        <c:scaling>
          <c:orientation val="minMax"/>
        </c:scaling>
        <c:delete val="0"/>
        <c:axPos val="l"/>
        <c:majorGridlines>
          <c:spPr>
            <a:ln w="9525" cap="flat" cmpd="sng" algn="ctr">
              <a:solidFill>
                <a:schemeClr val="bg2">
                  <a:lumMod val="90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r>
                  <a:rPr lang="en-CA"/>
                  <a:t>Energy Consumption (kWh/100 km)</a:t>
                </a:r>
              </a:p>
            </c:rich>
          </c:tx>
          <c:layout>
            <c:manualLayout>
              <c:xMode val="edge"/>
              <c:yMode val="edge"/>
              <c:x val="1.4038546790230307E-2"/>
              <c:y val="0.1835769545200293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en-US"/>
          </a:p>
        </c:txPr>
        <c:crossAx val="-2060558656"/>
        <c:crosses val="autoZero"/>
        <c:crossBetween val="between"/>
      </c:valAx>
      <c:spPr>
        <a:noFill/>
        <a:ln>
          <a:noFill/>
        </a:ln>
        <a:effectLst/>
      </c:spPr>
    </c:plotArea>
    <c:legend>
      <c:legendPos val="b"/>
      <c:legendEntry>
        <c:idx val="3"/>
        <c:delete val="1"/>
      </c:legendEntry>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0"/>
    <c:dispBlanksAs val="gap"/>
    <c:showDLblsOverMax val="0"/>
  </c:chart>
  <c:spPr>
    <a:solidFill>
      <a:schemeClr val="bg1"/>
    </a:solidFill>
    <a:ln w="9525" cap="flat" cmpd="sng" algn="ctr">
      <a:solidFill>
        <a:sysClr val="windowText" lastClr="000000"/>
      </a:solidFill>
      <a:round/>
    </a:ln>
    <a:effectLst/>
  </c:spPr>
  <c:txPr>
    <a:bodyPr/>
    <a:lstStyle/>
    <a:p>
      <a:pPr>
        <a:defRPr sz="11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5.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13219047</xdr:colOff>
      <xdr:row>61</xdr:row>
      <xdr:rowOff>46786</xdr:rowOff>
    </xdr:to>
    <xdr:pic>
      <xdr:nvPicPr>
        <xdr:cNvPr id="9" name="Picture 8"/>
        <xdr:cNvPicPr>
          <a:picLocks noChangeAspect="1"/>
        </xdr:cNvPicPr>
      </xdr:nvPicPr>
      <xdr:blipFill>
        <a:blip xmlns:r="http://schemas.openxmlformats.org/officeDocument/2006/relationships" r:embed="rId1"/>
        <a:stretch>
          <a:fillRect/>
        </a:stretch>
      </xdr:blipFill>
      <xdr:spPr>
        <a:xfrm>
          <a:off x="0" y="6353175"/>
          <a:ext cx="13219047" cy="6714286"/>
        </a:xfrm>
        <a:prstGeom prst="rect">
          <a:avLst/>
        </a:prstGeom>
      </xdr:spPr>
    </xdr:pic>
    <xdr:clientData/>
  </xdr:twoCellAnchor>
  <xdr:twoCellAnchor editAs="oneCell">
    <xdr:from>
      <xdr:col>0</xdr:col>
      <xdr:colOff>0</xdr:colOff>
      <xdr:row>61</xdr:row>
      <xdr:rowOff>38100</xdr:rowOff>
    </xdr:from>
    <xdr:to>
      <xdr:col>0</xdr:col>
      <xdr:colOff>13219047</xdr:colOff>
      <xdr:row>90</xdr:row>
      <xdr:rowOff>37409</xdr:rowOff>
    </xdr:to>
    <xdr:pic>
      <xdr:nvPicPr>
        <xdr:cNvPr id="10" name="Picture 9"/>
        <xdr:cNvPicPr>
          <a:picLocks noChangeAspect="1"/>
        </xdr:cNvPicPr>
      </xdr:nvPicPr>
      <xdr:blipFill>
        <a:blip xmlns:r="http://schemas.openxmlformats.org/officeDocument/2006/relationships" r:embed="rId2"/>
        <a:stretch>
          <a:fillRect/>
        </a:stretch>
      </xdr:blipFill>
      <xdr:spPr>
        <a:xfrm>
          <a:off x="0" y="13058775"/>
          <a:ext cx="13219047" cy="5523809"/>
        </a:xfrm>
        <a:prstGeom prst="rect">
          <a:avLst/>
        </a:prstGeom>
      </xdr:spPr>
    </xdr:pic>
    <xdr:clientData/>
  </xdr:twoCellAnchor>
  <xdr:twoCellAnchor editAs="oneCell">
    <xdr:from>
      <xdr:col>0</xdr:col>
      <xdr:colOff>9525</xdr:colOff>
      <xdr:row>90</xdr:row>
      <xdr:rowOff>38100</xdr:rowOff>
    </xdr:from>
    <xdr:to>
      <xdr:col>0</xdr:col>
      <xdr:colOff>13228572</xdr:colOff>
      <xdr:row>108</xdr:row>
      <xdr:rowOff>94814</xdr:rowOff>
    </xdr:to>
    <xdr:pic>
      <xdr:nvPicPr>
        <xdr:cNvPr id="11" name="Picture 10"/>
        <xdr:cNvPicPr>
          <a:picLocks noChangeAspect="1"/>
        </xdr:cNvPicPr>
      </xdr:nvPicPr>
      <xdr:blipFill>
        <a:blip xmlns:r="http://schemas.openxmlformats.org/officeDocument/2006/relationships" r:embed="rId3"/>
        <a:stretch>
          <a:fillRect/>
        </a:stretch>
      </xdr:blipFill>
      <xdr:spPr>
        <a:xfrm>
          <a:off x="9525" y="18583275"/>
          <a:ext cx="13219047" cy="34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3</xdr:col>
      <xdr:colOff>317398</xdr:colOff>
      <xdr:row>6</xdr:row>
      <xdr:rowOff>47625</xdr:rowOff>
    </xdr:to>
    <xdr:pic>
      <xdr:nvPicPr>
        <xdr:cNvPr id="15" name="Pictur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7625"/>
          <a:ext cx="3717823" cy="1047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371475</xdr:colOff>
          <xdr:row>57</xdr:row>
          <xdr:rowOff>9525</xdr:rowOff>
        </xdr:from>
        <xdr:to>
          <xdr:col>2</xdr:col>
          <xdr:colOff>552450</xdr:colOff>
          <xdr:row>58</xdr:row>
          <xdr:rowOff>0</xdr:rowOff>
        </xdr:to>
        <xdr:sp macro="" textlink="">
          <xdr:nvSpPr>
            <xdr:cNvPr id="2055" name="LoadManagement"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58</xdr:row>
          <xdr:rowOff>9525</xdr:rowOff>
        </xdr:from>
        <xdr:to>
          <xdr:col>2</xdr:col>
          <xdr:colOff>552450</xdr:colOff>
          <xdr:row>59</xdr:row>
          <xdr:rowOff>0</xdr:rowOff>
        </xdr:to>
        <xdr:sp macro="" textlink="">
          <xdr:nvSpPr>
            <xdr:cNvPr id="2056" name="PanelUpgrade"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59</xdr:row>
          <xdr:rowOff>9525</xdr:rowOff>
        </xdr:from>
        <xdr:to>
          <xdr:col>2</xdr:col>
          <xdr:colOff>552450</xdr:colOff>
          <xdr:row>60</xdr:row>
          <xdr:rowOff>0</xdr:rowOff>
        </xdr:to>
        <xdr:sp macro="" textlink="">
          <xdr:nvSpPr>
            <xdr:cNvPr id="2057" name="SubPanel" hidden="1">
              <a:extLst>
                <a:ext uri="{63B3BB69-23CF-44E3-9099-C40C66FF867C}">
                  <a14:compatExt spid="_x0000_s2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60</xdr:row>
          <xdr:rowOff>9525</xdr:rowOff>
        </xdr:from>
        <xdr:to>
          <xdr:col>2</xdr:col>
          <xdr:colOff>552450</xdr:colOff>
          <xdr:row>60</xdr:row>
          <xdr:rowOff>190500</xdr:rowOff>
        </xdr:to>
        <xdr:sp macro="" textlink="">
          <xdr:nvSpPr>
            <xdr:cNvPr id="2058" name="Trenching" hidden="1">
              <a:extLst>
                <a:ext uri="{63B3BB69-23CF-44E3-9099-C40C66FF867C}">
                  <a14:compatExt spid="_x0000_s2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9525</xdr:rowOff>
        </xdr:from>
        <xdr:to>
          <xdr:col>2</xdr:col>
          <xdr:colOff>552450</xdr:colOff>
          <xdr:row>57</xdr:row>
          <xdr:rowOff>0</xdr:rowOff>
        </xdr:to>
        <xdr:sp macro="" textlink="">
          <xdr:nvSpPr>
            <xdr:cNvPr id="2059" name="Level2Charger" hidden="1">
              <a:extLst>
                <a:ext uri="{63B3BB69-23CF-44E3-9099-C40C66FF867C}">
                  <a14:compatExt spid="_x0000_s2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0</xdr:colOff>
      <xdr:row>8</xdr:row>
      <xdr:rowOff>0</xdr:rowOff>
    </xdr:from>
    <xdr:to>
      <xdr:col>20</xdr:col>
      <xdr:colOff>0</xdr:colOff>
      <xdr:row>21</xdr:row>
      <xdr:rowOff>183394</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22</xdr:row>
      <xdr:rowOff>190499</xdr:rowOff>
    </xdr:from>
    <xdr:to>
      <xdr:col>20</xdr:col>
      <xdr:colOff>0</xdr:colOff>
      <xdr:row>36</xdr:row>
      <xdr:rowOff>183394</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38</xdr:row>
      <xdr:rowOff>0</xdr:rowOff>
    </xdr:from>
    <xdr:to>
      <xdr:col>20</xdr:col>
      <xdr:colOff>0</xdr:colOff>
      <xdr:row>51</xdr:row>
      <xdr:rowOff>163342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0</xdr:rowOff>
    </xdr:from>
    <xdr:to>
      <xdr:col>20</xdr:col>
      <xdr:colOff>0</xdr:colOff>
      <xdr:row>66</xdr:row>
      <xdr:rowOff>183395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68</xdr:row>
      <xdr:rowOff>0</xdr:rowOff>
    </xdr:from>
    <xdr:to>
      <xdr:col>20</xdr:col>
      <xdr:colOff>0</xdr:colOff>
      <xdr:row>82</xdr:row>
      <xdr:rowOff>33000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4.emf"/><Relationship Id="rId4" Type="http://schemas.openxmlformats.org/officeDocument/2006/relationships/control" Target="../activeX/activeX1.xml"/><Relationship Id="rId9"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53"/>
  <sheetViews>
    <sheetView showGridLines="0" zoomScaleNormal="100" workbookViewId="0"/>
  </sheetViews>
  <sheetFormatPr defaultColWidth="0" defaultRowHeight="15" zeroHeight="1" x14ac:dyDescent="0.25"/>
  <cols>
    <col min="1" max="1" width="207.140625" customWidth="1"/>
    <col min="2" max="2" width="0" hidden="1" customWidth="1"/>
    <col min="3" max="16384" width="9.140625" hidden="1"/>
  </cols>
  <sheetData>
    <row r="1" spans="1:1" s="16" customFormat="1" x14ac:dyDescent="0.25">
      <c r="A1" s="15" t="s">
        <v>73</v>
      </c>
    </row>
    <row r="2" spans="1:1" ht="28.5" x14ac:dyDescent="0.25">
      <c r="A2" s="7" t="s">
        <v>92</v>
      </c>
    </row>
    <row r="3" spans="1:1" x14ac:dyDescent="0.25">
      <c r="A3" s="17"/>
    </row>
    <row r="4" spans="1:1" x14ac:dyDescent="0.25">
      <c r="A4" s="18" t="s">
        <v>74</v>
      </c>
    </row>
    <row r="5" spans="1:1" x14ac:dyDescent="0.25">
      <c r="A5" s="17" t="s">
        <v>292</v>
      </c>
    </row>
    <row r="6" spans="1:1" x14ac:dyDescent="0.25">
      <c r="A6" s="17" t="s">
        <v>75</v>
      </c>
    </row>
    <row r="7" spans="1:1" x14ac:dyDescent="0.25">
      <c r="A7" s="17" t="s">
        <v>76</v>
      </c>
    </row>
    <row r="8" spans="1:1" x14ac:dyDescent="0.25">
      <c r="A8" s="19" t="s">
        <v>90</v>
      </c>
    </row>
    <row r="9" spans="1:1" x14ac:dyDescent="0.25">
      <c r="A9" s="19" t="s">
        <v>436</v>
      </c>
    </row>
    <row r="10" spans="1:1" x14ac:dyDescent="0.25">
      <c r="A10" s="17" t="s">
        <v>77</v>
      </c>
    </row>
    <row r="11" spans="1:1" x14ac:dyDescent="0.25">
      <c r="A11" s="17" t="s">
        <v>78</v>
      </c>
    </row>
    <row r="12" spans="1:1" x14ac:dyDescent="0.25">
      <c r="A12" s="17" t="s">
        <v>91</v>
      </c>
    </row>
    <row r="13" spans="1:1" x14ac:dyDescent="0.25">
      <c r="A13" s="17" t="s">
        <v>434</v>
      </c>
    </row>
    <row r="14" spans="1:1" x14ac:dyDescent="0.25">
      <c r="A14" s="17" t="s">
        <v>432</v>
      </c>
    </row>
    <row r="15" spans="1:1" x14ac:dyDescent="0.25">
      <c r="A15" s="17" t="s">
        <v>435</v>
      </c>
    </row>
    <row r="16" spans="1:1" x14ac:dyDescent="0.25">
      <c r="A16" s="17"/>
    </row>
    <row r="17" spans="1:1" x14ac:dyDescent="0.25">
      <c r="A17" s="17" t="s">
        <v>305</v>
      </c>
    </row>
    <row r="18" spans="1:1" x14ac:dyDescent="0.25">
      <c r="A18" s="17"/>
    </row>
    <row r="19" spans="1:1" x14ac:dyDescent="0.25">
      <c r="A19" s="18" t="s">
        <v>79</v>
      </c>
    </row>
    <row r="20" spans="1:1" s="21" customFormat="1" ht="85.5" x14ac:dyDescent="0.25">
      <c r="A20" s="22" t="s">
        <v>306</v>
      </c>
    </row>
    <row r="21" spans="1:1" x14ac:dyDescent="0.25">
      <c r="A21" s="17"/>
    </row>
    <row r="22" spans="1:1" x14ac:dyDescent="0.25">
      <c r="A22" s="18" t="s">
        <v>80</v>
      </c>
    </row>
    <row r="23" spans="1:1" ht="71.25" x14ac:dyDescent="0.25">
      <c r="A23" s="19" t="s">
        <v>433</v>
      </c>
    </row>
    <row r="24" spans="1:1" s="16" customFormat="1" x14ac:dyDescent="0.25">
      <c r="A24" s="18"/>
    </row>
    <row r="25" spans="1:1" x14ac:dyDescent="0.25">
      <c r="A25" s="17" t="s">
        <v>81</v>
      </c>
    </row>
    <row r="26" spans="1:1" x14ac:dyDescent="0.25"/>
    <row r="27" spans="1:1" x14ac:dyDescent="0.25"/>
    <row r="28" spans="1:1" x14ac:dyDescent="0.25"/>
    <row r="29" spans="1:1" x14ac:dyDescent="0.25"/>
    <row r="30" spans="1:1" x14ac:dyDescent="0.25"/>
    <row r="31" spans="1:1" x14ac:dyDescent="0.25"/>
    <row r="32" spans="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 x14ac:dyDescent="0.25"/>
    <row r="98" spans="1:1" x14ac:dyDescent="0.25"/>
    <row r="99" spans="1:1" x14ac:dyDescent="0.25"/>
    <row r="100" spans="1:1" x14ac:dyDescent="0.25"/>
    <row r="101" spans="1:1" x14ac:dyDescent="0.25"/>
    <row r="102" spans="1:1" x14ac:dyDescent="0.25"/>
    <row r="103" spans="1:1" x14ac:dyDescent="0.25"/>
    <row r="104" spans="1:1" x14ac:dyDescent="0.25"/>
    <row r="105" spans="1:1" x14ac:dyDescent="0.25"/>
    <row r="106" spans="1:1" x14ac:dyDescent="0.25"/>
    <row r="107" spans="1:1" x14ac:dyDescent="0.25"/>
    <row r="108" spans="1:1" x14ac:dyDescent="0.25"/>
    <row r="109" spans="1:1" x14ac:dyDescent="0.25"/>
    <row r="110" spans="1:1" x14ac:dyDescent="0.25">
      <c r="A110" s="18" t="s">
        <v>83</v>
      </c>
    </row>
    <row r="111" spans="1:1" x14ac:dyDescent="0.25">
      <c r="A111" s="17" t="s">
        <v>82</v>
      </c>
    </row>
    <row r="112" spans="1:1" x14ac:dyDescent="0.25">
      <c r="A112" s="17" t="s">
        <v>84</v>
      </c>
    </row>
    <row r="113" spans="1:1" x14ac:dyDescent="0.25"/>
    <row r="114" spans="1:1" x14ac:dyDescent="0.25">
      <c r="A114" s="17" t="s">
        <v>270</v>
      </c>
    </row>
    <row r="115" spans="1:1" ht="45" customHeight="1" x14ac:dyDescent="0.25">
      <c r="A115" s="19" t="s">
        <v>271</v>
      </c>
    </row>
    <row r="116" spans="1:1" x14ac:dyDescent="0.25"/>
    <row r="117" spans="1:1" x14ac:dyDescent="0.25">
      <c r="A117" s="17" t="s">
        <v>272</v>
      </c>
    </row>
    <row r="118" spans="1:1" s="21" customFormat="1" ht="117" customHeight="1" x14ac:dyDescent="0.25">
      <c r="A118" s="20" t="s">
        <v>273</v>
      </c>
    </row>
    <row r="119" spans="1:1" x14ac:dyDescent="0.25"/>
    <row r="120" spans="1:1" x14ac:dyDescent="0.25">
      <c r="A120" s="17" t="s">
        <v>274</v>
      </c>
    </row>
    <row r="121" spans="1:1" ht="27.75" customHeight="1" x14ac:dyDescent="0.25">
      <c r="A121" s="19" t="s">
        <v>275</v>
      </c>
    </row>
    <row r="122" spans="1:1" x14ac:dyDescent="0.25"/>
    <row r="123" spans="1:1" x14ac:dyDescent="0.25">
      <c r="A123" s="17" t="s">
        <v>276</v>
      </c>
    </row>
    <row r="124" spans="1:1" ht="48" customHeight="1" x14ac:dyDescent="0.25">
      <c r="A124" s="20" t="s">
        <v>277</v>
      </c>
    </row>
    <row r="125" spans="1:1" x14ac:dyDescent="0.25">
      <c r="A125" s="17"/>
    </row>
    <row r="126" spans="1:1" x14ac:dyDescent="0.25">
      <c r="A126" s="17" t="s">
        <v>307</v>
      </c>
    </row>
    <row r="127" spans="1:1" ht="29.25" customHeight="1" x14ac:dyDescent="0.25">
      <c r="A127" s="90" t="s">
        <v>308</v>
      </c>
    </row>
    <row r="128" spans="1:1" x14ac:dyDescent="0.25"/>
    <row r="129" spans="1:1" x14ac:dyDescent="0.25">
      <c r="A129" s="17" t="s">
        <v>309</v>
      </c>
    </row>
    <row r="130" spans="1:1" ht="30.75" customHeight="1" x14ac:dyDescent="0.25">
      <c r="A130" s="90" t="s">
        <v>310</v>
      </c>
    </row>
    <row r="131" spans="1:1" x14ac:dyDescent="0.25"/>
    <row r="132" spans="1:1" hidden="1" x14ac:dyDescent="0.25"/>
    <row r="133" spans="1:1" hidden="1" x14ac:dyDescent="0.25"/>
    <row r="134" spans="1:1" hidden="1" x14ac:dyDescent="0.25"/>
    <row r="135" spans="1:1" hidden="1" x14ac:dyDescent="0.25"/>
    <row r="136" spans="1:1" hidden="1" x14ac:dyDescent="0.25"/>
    <row r="137" spans="1:1" hidden="1" x14ac:dyDescent="0.25"/>
    <row r="138" spans="1:1" hidden="1" x14ac:dyDescent="0.25"/>
    <row r="139" spans="1:1" hidden="1" x14ac:dyDescent="0.25"/>
    <row r="140" spans="1:1" hidden="1" x14ac:dyDescent="0.25"/>
    <row r="141" spans="1:1" hidden="1" x14ac:dyDescent="0.25"/>
    <row r="142" spans="1:1" hidden="1" x14ac:dyDescent="0.25"/>
    <row r="143" spans="1:1" hidden="1" x14ac:dyDescent="0.25"/>
    <row r="144" spans="1:1"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E5E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U86"/>
  <sheetViews>
    <sheetView showGridLines="0" tabSelected="1" zoomScale="95" zoomScaleNormal="95" workbookViewId="0">
      <selection activeCell="D9" sqref="D9:F9"/>
    </sheetView>
  </sheetViews>
  <sheetFormatPr defaultColWidth="0" defaultRowHeight="15" x14ac:dyDescent="0.25"/>
  <cols>
    <col min="1" max="1" width="2.85546875" customWidth="1"/>
    <col min="2" max="2" width="38.140625" bestFit="1" customWidth="1"/>
    <col min="3" max="3" width="12.85546875" bestFit="1" customWidth="1"/>
    <col min="4" max="4" width="20.85546875" bestFit="1" customWidth="1"/>
    <col min="5" max="5" width="3.42578125" bestFit="1" customWidth="1"/>
    <col min="6" max="6" width="19.140625" customWidth="1"/>
    <col min="7" max="8" width="2.85546875" customWidth="1"/>
    <col min="9" max="19" width="9.140625" customWidth="1"/>
    <col min="20" max="20" width="6" customWidth="1"/>
    <col min="21" max="21" width="9.140625" customWidth="1"/>
    <col min="22" max="16384" width="9.140625" hidden="1"/>
  </cols>
  <sheetData>
    <row r="1" spans="2:6" ht="7.5" customHeight="1" x14ac:dyDescent="0.25"/>
    <row r="8" spans="2:6" ht="15.75" thickBot="1" x14ac:dyDescent="0.3">
      <c r="B8" s="28" t="s">
        <v>98</v>
      </c>
    </row>
    <row r="9" spans="2:6" x14ac:dyDescent="0.25">
      <c r="B9" s="139" t="s">
        <v>64</v>
      </c>
      <c r="C9" s="140"/>
      <c r="D9" s="135"/>
      <c r="E9" s="135"/>
      <c r="F9" s="136"/>
    </row>
    <row r="10" spans="2:6" ht="15.75" thickBot="1" x14ac:dyDescent="0.3">
      <c r="B10" s="133" t="s">
        <v>65</v>
      </c>
      <c r="C10" s="134"/>
      <c r="D10" s="137"/>
      <c r="E10" s="137"/>
      <c r="F10" s="138"/>
    </row>
    <row r="11" spans="2:6" x14ac:dyDescent="0.25">
      <c r="B11" s="44"/>
      <c r="C11" s="44"/>
      <c r="D11" s="91"/>
      <c r="E11" s="91"/>
      <c r="F11" s="91"/>
    </row>
    <row r="12" spans="2:6" ht="15.75" thickBot="1" x14ac:dyDescent="0.3">
      <c r="B12" s="28" t="s">
        <v>229</v>
      </c>
      <c r="C12" s="44"/>
      <c r="D12" s="13" t="s">
        <v>176</v>
      </c>
      <c r="E12" s="14" t="s">
        <v>71</v>
      </c>
      <c r="F12" s="13" t="s">
        <v>72</v>
      </c>
    </row>
    <row r="13" spans="2:6" x14ac:dyDescent="0.25">
      <c r="B13" s="8" t="s">
        <v>172</v>
      </c>
      <c r="C13" s="9" t="s">
        <v>177</v>
      </c>
      <c r="D13" s="68" t="str">
        <f>IFERROR(VLOOKUP(InputProvince,ClimateData,7,FALSE),"")</f>
        <v/>
      </c>
      <c r="E13" s="91"/>
      <c r="F13" s="50"/>
    </row>
    <row r="14" spans="2:6" x14ac:dyDescent="0.25">
      <c r="B14" s="27" t="s">
        <v>173</v>
      </c>
      <c r="C14" s="26" t="s">
        <v>177</v>
      </c>
      <c r="D14" s="69" t="str">
        <f>IFERROR(VLOOKUP(InputProvince,ClimateData,8,FALSE),"")</f>
        <v/>
      </c>
      <c r="E14" s="91"/>
      <c r="F14" s="51"/>
    </row>
    <row r="15" spans="2:6" x14ac:dyDescent="0.25">
      <c r="B15" s="27" t="s">
        <v>174</v>
      </c>
      <c r="C15" s="26" t="s">
        <v>177</v>
      </c>
      <c r="D15" s="70" t="str">
        <f>IFERROR(VLOOKUP(InputProvince,ClimateData,9,FALSE),"")</f>
        <v/>
      </c>
      <c r="E15" s="91"/>
      <c r="F15" s="52"/>
    </row>
    <row r="16" spans="2:6" ht="15.75" thickBot="1" x14ac:dyDescent="0.3">
      <c r="B16" s="5" t="s">
        <v>175</v>
      </c>
      <c r="C16" s="4" t="s">
        <v>177</v>
      </c>
      <c r="D16" s="71" t="str">
        <f>IFERROR(VLOOKUP(InputProvince,ClimateData,10,FALSE),"")</f>
        <v/>
      </c>
      <c r="E16" s="91"/>
      <c r="F16" s="53"/>
    </row>
    <row r="17" spans="2:6" x14ac:dyDescent="0.25">
      <c r="F17" s="11"/>
    </row>
    <row r="18" spans="2:6" ht="15.75" thickBot="1" x14ac:dyDescent="0.3">
      <c r="B18" s="28" t="s">
        <v>99</v>
      </c>
      <c r="D18" s="13" t="s">
        <v>86</v>
      </c>
      <c r="E18" s="14" t="s">
        <v>71</v>
      </c>
      <c r="F18" s="13" t="s">
        <v>72</v>
      </c>
    </row>
    <row r="19" spans="2:6" x14ac:dyDescent="0.25">
      <c r="B19" s="8" t="s">
        <v>85</v>
      </c>
      <c r="C19" s="9" t="s">
        <v>159</v>
      </c>
      <c r="D19" s="64" t="str">
        <f>IFERROR(VLOOKUP(InputProvince,EnergyData,3,FALSE),"")</f>
        <v/>
      </c>
      <c r="E19" s="10"/>
      <c r="F19" s="55"/>
    </row>
    <row r="20" spans="2:6" x14ac:dyDescent="0.25">
      <c r="B20" s="45" t="s">
        <v>69</v>
      </c>
      <c r="C20" s="46" t="s">
        <v>70</v>
      </c>
      <c r="D20" s="65" t="str">
        <f>IFERROR(VLOOKUP(InputProvince,EnergyData,2,FALSE),"")</f>
        <v/>
      </c>
      <c r="E20" s="12"/>
      <c r="F20" s="56"/>
    </row>
    <row r="21" spans="2:6" x14ac:dyDescent="0.25">
      <c r="B21" s="27" t="s">
        <v>94</v>
      </c>
      <c r="C21" s="26" t="s">
        <v>160</v>
      </c>
      <c r="D21" s="66" t="str">
        <f>IFERROR(VLOOKUP(InputProvince,EnergyData,4,FALSE),"")</f>
        <v/>
      </c>
      <c r="F21" s="57"/>
    </row>
    <row r="22" spans="2:6" x14ac:dyDescent="0.25">
      <c r="B22" s="45" t="s">
        <v>93</v>
      </c>
      <c r="C22" s="46" t="s">
        <v>97</v>
      </c>
      <c r="D22" s="65">
        <v>2.7120000000000002</v>
      </c>
      <c r="F22" s="56"/>
    </row>
    <row r="23" spans="2:6" x14ac:dyDescent="0.25">
      <c r="B23" s="27" t="s">
        <v>95</v>
      </c>
      <c r="C23" s="26" t="s">
        <v>160</v>
      </c>
      <c r="D23" s="66" t="str">
        <f>IFERROR(VLOOKUP(InputProvince,EnergyData,5,FALSE),"")</f>
        <v/>
      </c>
      <c r="F23" s="57"/>
    </row>
    <row r="24" spans="2:6" ht="15.75" thickBot="1" x14ac:dyDescent="0.3">
      <c r="B24" s="5" t="s">
        <v>96</v>
      </c>
      <c r="C24" s="4" t="s">
        <v>97</v>
      </c>
      <c r="D24" s="67">
        <v>3.202</v>
      </c>
      <c r="F24" s="58"/>
    </row>
    <row r="25" spans="2:6" ht="15.75" thickBot="1" x14ac:dyDescent="0.3">
      <c r="B25" s="28" t="s">
        <v>293</v>
      </c>
      <c r="C25" s="39"/>
      <c r="D25" s="12"/>
      <c r="E25" s="11"/>
      <c r="F25" s="92"/>
    </row>
    <row r="26" spans="2:6" x14ac:dyDescent="0.25">
      <c r="B26" s="8" t="s">
        <v>294</v>
      </c>
      <c r="C26" s="9" t="s">
        <v>163</v>
      </c>
      <c r="D26" s="97">
        <f>IFERROR(VLOOKUP(InputCountry,CurrencySelection,2,FALSE),1)</f>
        <v>1</v>
      </c>
      <c r="E26" s="38"/>
      <c r="F26" s="94"/>
    </row>
    <row r="27" spans="2:6" x14ac:dyDescent="0.25">
      <c r="B27" s="45" t="s">
        <v>311</v>
      </c>
      <c r="C27" s="46" t="s">
        <v>312</v>
      </c>
      <c r="D27" s="153" t="str">
        <f>IFERROR(VLOOKUP(InputCountry,CurrencySelection,3,FALSE),"$")</f>
        <v>$</v>
      </c>
      <c r="E27" s="38"/>
      <c r="F27" s="100"/>
    </row>
    <row r="28" spans="2:6" x14ac:dyDescent="0.25">
      <c r="B28" s="27" t="s">
        <v>431</v>
      </c>
      <c r="C28" s="26" t="s">
        <v>203</v>
      </c>
      <c r="D28" s="155" t="str">
        <f>IFERROR(VLOOKUP(InputProvince,EnergyData,6,FALSE),"")</f>
        <v/>
      </c>
      <c r="E28" s="38"/>
      <c r="F28" s="156"/>
    </row>
    <row r="29" spans="2:6" x14ac:dyDescent="0.25">
      <c r="B29" s="98" t="s">
        <v>403</v>
      </c>
      <c r="C29" s="99" t="s">
        <v>162</v>
      </c>
      <c r="D29" s="152">
        <v>0</v>
      </c>
      <c r="E29" s="38"/>
      <c r="F29" s="154"/>
    </row>
    <row r="30" spans="2:6" x14ac:dyDescent="0.25">
      <c r="B30" s="27" t="s">
        <v>295</v>
      </c>
      <c r="C30" s="26" t="s">
        <v>186</v>
      </c>
      <c r="D30" s="148">
        <v>4</v>
      </c>
      <c r="E30" s="38"/>
      <c r="F30" s="149"/>
    </row>
    <row r="31" spans="2:6" x14ac:dyDescent="0.25">
      <c r="B31" s="27" t="s">
        <v>304</v>
      </c>
      <c r="C31" s="26" t="s">
        <v>203</v>
      </c>
      <c r="D31" s="62">
        <v>0.05</v>
      </c>
      <c r="E31" s="38"/>
      <c r="F31" s="79"/>
    </row>
    <row r="32" spans="2:6" ht="15.75" thickBot="1" x14ac:dyDescent="0.3">
      <c r="B32" s="5" t="s">
        <v>297</v>
      </c>
      <c r="C32" s="4" t="s">
        <v>203</v>
      </c>
      <c r="D32" s="150">
        <v>0.1</v>
      </c>
      <c r="E32" s="38"/>
      <c r="F32" s="151"/>
    </row>
    <row r="34" spans="2:7" ht="15.75" thickBot="1" x14ac:dyDescent="0.3">
      <c r="B34" s="28" t="s">
        <v>125</v>
      </c>
      <c r="D34" s="13" t="s">
        <v>154</v>
      </c>
      <c r="E34" s="14" t="s">
        <v>71</v>
      </c>
      <c r="F34" s="13" t="s">
        <v>72</v>
      </c>
      <c r="G34" s="13"/>
    </row>
    <row r="35" spans="2:7" x14ac:dyDescent="0.25">
      <c r="B35" s="8" t="s">
        <v>123</v>
      </c>
      <c r="C35" s="9" t="s">
        <v>124</v>
      </c>
      <c r="D35" s="61">
        <v>20000</v>
      </c>
      <c r="E35" s="38"/>
      <c r="F35" s="78"/>
    </row>
    <row r="36" spans="2:7" x14ac:dyDescent="0.25">
      <c r="B36" s="27" t="s">
        <v>157</v>
      </c>
      <c r="C36" s="26" t="s">
        <v>164</v>
      </c>
      <c r="D36" s="62">
        <v>0.5</v>
      </c>
      <c r="E36" s="38"/>
      <c r="F36" s="79"/>
    </row>
    <row r="37" spans="2:7" ht="15.75" thickBot="1" x14ac:dyDescent="0.3">
      <c r="B37" s="5" t="s">
        <v>187</v>
      </c>
      <c r="C37" s="4" t="s">
        <v>186</v>
      </c>
      <c r="D37" s="63">
        <v>12</v>
      </c>
      <c r="E37" s="48"/>
      <c r="F37" s="89"/>
    </row>
    <row r="39" spans="2:7" ht="15.75" thickBot="1" x14ac:dyDescent="0.3">
      <c r="B39" s="28" t="s">
        <v>100</v>
      </c>
      <c r="D39" s="13" t="s">
        <v>155</v>
      </c>
      <c r="E39" s="14" t="s">
        <v>71</v>
      </c>
      <c r="F39" s="13" t="s">
        <v>72</v>
      </c>
    </row>
    <row r="40" spans="2:7" x14ac:dyDescent="0.25">
      <c r="B40" s="8" t="s">
        <v>153</v>
      </c>
      <c r="C40" s="9" t="s">
        <v>126</v>
      </c>
      <c r="D40" s="84"/>
      <c r="F40" s="85"/>
    </row>
    <row r="41" spans="2:7" x14ac:dyDescent="0.25">
      <c r="B41" s="27" t="s">
        <v>156</v>
      </c>
      <c r="C41" s="26" t="s">
        <v>162</v>
      </c>
      <c r="D41" s="40" t="str">
        <f>IFERROR(VLOOKUP(EVMakeModel,EVTable,2),"")</f>
        <v/>
      </c>
      <c r="F41" s="86"/>
    </row>
    <row r="42" spans="2:7" ht="15.75" thickBot="1" x14ac:dyDescent="0.3">
      <c r="B42" s="5" t="s">
        <v>102</v>
      </c>
      <c r="C42" s="4" t="s">
        <v>158</v>
      </c>
      <c r="D42" s="41" t="str">
        <f>IFERROR((VLOOKUP(EVMakeModel,EVTable,3)*IF(ISBLANK(SelfDefinedHighwayDistance),HighwayDistance,SelfDefinedHighwayDistance) + VLOOKUP(EVMakeModel,EVTable,4)*(1-IF(ISBLANK(SelfDefinedHighwayDistance),HighwayDistance,SelfDefinedHighwayDistance))),"")</f>
        <v/>
      </c>
      <c r="F42" s="88"/>
    </row>
    <row r="43" spans="2:7" ht="15.75" thickBot="1" x14ac:dyDescent="0.3">
      <c r="B43" s="147" t="s">
        <v>165</v>
      </c>
      <c r="C43" s="147"/>
      <c r="D43" s="13"/>
      <c r="E43" s="14"/>
      <c r="F43" s="13"/>
    </row>
    <row r="44" spans="2:7" x14ac:dyDescent="0.25">
      <c r="B44" s="8" t="s">
        <v>153</v>
      </c>
      <c r="C44" s="9" t="s">
        <v>126</v>
      </c>
      <c r="D44" s="84"/>
      <c r="F44" s="85"/>
    </row>
    <row r="45" spans="2:7" x14ac:dyDescent="0.25">
      <c r="B45" s="27" t="s">
        <v>156</v>
      </c>
      <c r="C45" s="26" t="s">
        <v>162</v>
      </c>
      <c r="D45" s="40" t="str">
        <f>IFERROR(VLOOKUP(ICEVMakeModel,ICEVTable,3),"")</f>
        <v/>
      </c>
      <c r="F45" s="86"/>
    </row>
    <row r="46" spans="2:7" x14ac:dyDescent="0.25">
      <c r="B46" s="27" t="s">
        <v>102</v>
      </c>
      <c r="C46" s="26" t="s">
        <v>166</v>
      </c>
      <c r="D46" s="42" t="str">
        <f>IFERROR(VLOOKUP(ICEVMakeModel,ICEVTable,4)*IF(ISBLANK(SelfDefinedHighwayDistance),HighwayDistance,SelfDefinedHighwayDistance) + VLOOKUP(ICEVMakeModel,ICEVTable,5)*(1-IF(ISBLANK(SelfDefinedHighwayDistance),HighwayDistance,SelfDefinedHighwayDistance)),"")</f>
        <v/>
      </c>
      <c r="F46" s="87"/>
    </row>
    <row r="47" spans="2:7" ht="15.75" thickBot="1" x14ac:dyDescent="0.3">
      <c r="B47" s="5" t="s">
        <v>139</v>
      </c>
      <c r="C47" s="4" t="s">
        <v>126</v>
      </c>
      <c r="D47" s="43" t="str">
        <f>IFERROR(VLOOKUP(ICEVMakeModel,ICEVTable,2),"")</f>
        <v/>
      </c>
      <c r="E47" s="38"/>
      <c r="F47" s="53"/>
    </row>
    <row r="49" spans="2:6" ht="15.75" thickBot="1" x14ac:dyDescent="0.3">
      <c r="B49" s="28" t="s">
        <v>182</v>
      </c>
      <c r="D49" s="13" t="s">
        <v>185</v>
      </c>
      <c r="E49" s="14" t="s">
        <v>71</v>
      </c>
      <c r="F49" s="13" t="s">
        <v>72</v>
      </c>
    </row>
    <row r="50" spans="2:6" x14ac:dyDescent="0.25">
      <c r="B50" s="8" t="s">
        <v>183</v>
      </c>
      <c r="C50" s="9" t="s">
        <v>181</v>
      </c>
      <c r="D50" s="59">
        <v>0.9</v>
      </c>
      <c r="F50" s="80"/>
    </row>
    <row r="51" spans="2:6" ht="15.75" thickBot="1" x14ac:dyDescent="0.3">
      <c r="B51" s="5" t="s">
        <v>184</v>
      </c>
      <c r="C51" s="4" t="s">
        <v>181</v>
      </c>
      <c r="D51" s="60">
        <v>2.9</v>
      </c>
      <c r="F51" s="81"/>
    </row>
    <row r="52" spans="2:6" ht="15.75" thickBot="1" x14ac:dyDescent="0.3">
      <c r="B52" s="28" t="s">
        <v>230</v>
      </c>
    </row>
    <row r="53" spans="2:6" x14ac:dyDescent="0.25">
      <c r="B53" s="8" t="s">
        <v>231</v>
      </c>
      <c r="C53" s="9" t="s">
        <v>233</v>
      </c>
      <c r="D53" s="95">
        <v>14500</v>
      </c>
      <c r="F53" s="82"/>
    </row>
    <row r="54" spans="2:6" ht="15.75" thickBot="1" x14ac:dyDescent="0.3">
      <c r="B54" s="5" t="s">
        <v>232</v>
      </c>
      <c r="C54" s="4" t="s">
        <v>233</v>
      </c>
      <c r="D54" s="96">
        <v>9000</v>
      </c>
      <c r="F54" s="83"/>
    </row>
    <row r="56" spans="2:6" ht="15.75" thickBot="1" x14ac:dyDescent="0.3">
      <c r="B56" s="28" t="s">
        <v>284</v>
      </c>
      <c r="C56" s="13" t="s">
        <v>287</v>
      </c>
      <c r="D56" s="13" t="s">
        <v>288</v>
      </c>
      <c r="E56" s="14" t="s">
        <v>71</v>
      </c>
      <c r="F56" s="13" t="s">
        <v>72</v>
      </c>
    </row>
    <row r="57" spans="2:6" x14ac:dyDescent="0.25">
      <c r="B57" s="8" t="s">
        <v>279</v>
      </c>
      <c r="C57" s="9"/>
      <c r="D57" s="141">
        <f>SUMIF(CheckBoxes,TRUE(),ElectricalUpgradeCost)</f>
        <v>0</v>
      </c>
      <c r="F57" s="144"/>
    </row>
    <row r="58" spans="2:6" x14ac:dyDescent="0.25">
      <c r="B58" s="27" t="s">
        <v>285</v>
      </c>
      <c r="C58" s="26"/>
      <c r="D58" s="142"/>
      <c r="F58" s="145"/>
    </row>
    <row r="59" spans="2:6" x14ac:dyDescent="0.25">
      <c r="B59" s="27" t="s">
        <v>286</v>
      </c>
      <c r="C59" s="26"/>
      <c r="D59" s="142"/>
      <c r="F59" s="145"/>
    </row>
    <row r="60" spans="2:6" x14ac:dyDescent="0.25">
      <c r="B60" s="27" t="s">
        <v>281</v>
      </c>
      <c r="C60" s="26"/>
      <c r="D60" s="142"/>
      <c r="F60" s="145"/>
    </row>
    <row r="61" spans="2:6" ht="15.75" thickBot="1" x14ac:dyDescent="0.3">
      <c r="B61" s="5" t="s">
        <v>280</v>
      </c>
      <c r="C61" s="4"/>
      <c r="D61" s="143"/>
      <c r="F61" s="146"/>
    </row>
    <row r="63" spans="2:6" ht="15.75" thickBot="1" x14ac:dyDescent="0.3">
      <c r="B63" s="28" t="s">
        <v>407</v>
      </c>
    </row>
    <row r="64" spans="2:6" x14ac:dyDescent="0.25">
      <c r="B64" s="124" t="s">
        <v>408</v>
      </c>
      <c r="C64" s="125"/>
      <c r="D64" s="125"/>
      <c r="E64" s="125"/>
      <c r="F64" s="126"/>
    </row>
    <row r="65" spans="2:6" x14ac:dyDescent="0.25">
      <c r="B65" s="127" t="s">
        <v>259</v>
      </c>
      <c r="C65" s="128"/>
      <c r="D65" s="106" t="s">
        <v>418</v>
      </c>
      <c r="E65" s="107"/>
      <c r="F65" s="108">
        <f>IFERROR(-Calculations!G27,0)</f>
        <v>0</v>
      </c>
    </row>
    <row r="66" spans="2:6" x14ac:dyDescent="0.25">
      <c r="B66" s="127" t="str">
        <f>Calculations!E18</f>
        <v>Fuel</v>
      </c>
      <c r="C66" s="128"/>
      <c r="D66" s="109" t="s">
        <v>417</v>
      </c>
      <c r="E66" s="110"/>
      <c r="F66" s="111">
        <f>IFERROR(Calculations!C17*Calculations!C35/100,0)</f>
        <v>0</v>
      </c>
    </row>
    <row r="67" spans="2:6" x14ac:dyDescent="0.25">
      <c r="B67" s="127" t="s">
        <v>416</v>
      </c>
      <c r="C67" s="128"/>
      <c r="D67" s="106" t="s">
        <v>419</v>
      </c>
      <c r="E67" s="107"/>
      <c r="F67" s="120">
        <f>IFERROR((VLOOKUP(B66,EnergyInFuel,2,FALSE)*F66+F65)/(VLOOKUP(B66,EnergyInFuel,2,FALSE)*F66)*100,0)</f>
        <v>0</v>
      </c>
    </row>
    <row r="68" spans="2:6" x14ac:dyDescent="0.25">
      <c r="B68" s="121" t="s">
        <v>410</v>
      </c>
      <c r="C68" s="122"/>
      <c r="D68" s="122"/>
      <c r="E68" s="122"/>
      <c r="F68" s="123"/>
    </row>
    <row r="69" spans="2:6" x14ac:dyDescent="0.25">
      <c r="B69" s="127" t="s">
        <v>258</v>
      </c>
      <c r="C69" s="128"/>
      <c r="D69" s="106" t="str">
        <f>IF(ISBLANK(SelfDefinedCurrencySymbol),CurrencySymbol,SelfDefinedCurrencySymbol)</f>
        <v>$</v>
      </c>
      <c r="E69" s="107"/>
      <c r="F69" s="108">
        <f>IFERROR(Calculations!G11-Calculations!G43,0)</f>
        <v>0</v>
      </c>
    </row>
    <row r="70" spans="2:6" x14ac:dyDescent="0.25">
      <c r="B70" s="127" t="s">
        <v>291</v>
      </c>
      <c r="C70" s="128"/>
      <c r="D70" s="109" t="str">
        <f>IF(ISBLANK(SelfDefinedCurrencySymbol),CurrencySymbol,SelfDefinedCurrencySymbol)</f>
        <v>$</v>
      </c>
      <c r="E70" s="110"/>
      <c r="F70" s="111">
        <f>IFERROR(-Calculations!G36,0)</f>
        <v>0</v>
      </c>
    </row>
    <row r="71" spans="2:6" x14ac:dyDescent="0.25">
      <c r="B71" s="127" t="s">
        <v>225</v>
      </c>
      <c r="C71" s="128"/>
      <c r="D71" s="112" t="str">
        <f>IF(ISBLANK(SelfDefinedCurrencySymbol),CurrencySymbol,SelfDefinedCurrencySymbol)</f>
        <v>$</v>
      </c>
      <c r="E71" s="113"/>
      <c r="F71" s="114">
        <f>IFERROR(SUM(F69:F70),0)</f>
        <v>0</v>
      </c>
    </row>
    <row r="72" spans="2:6" x14ac:dyDescent="0.25">
      <c r="B72" s="121" t="s">
        <v>411</v>
      </c>
      <c r="C72" s="122"/>
      <c r="D72" s="122"/>
      <c r="E72" s="122"/>
      <c r="F72" s="123"/>
    </row>
    <row r="73" spans="2:6" x14ac:dyDescent="0.25">
      <c r="B73" s="127" t="s">
        <v>199</v>
      </c>
      <c r="C73" s="128"/>
      <c r="D73" s="106" t="str">
        <f>IF(ISBLANK(SelfDefinedCurrencySymbol),CurrencySymbol,SelfDefinedCurrencySymbol)&amp;"/year"</f>
        <v>$/year</v>
      </c>
      <c r="E73" s="107"/>
      <c r="F73" s="108">
        <f>IFERROR(-Calculations!G38,0)</f>
        <v>0</v>
      </c>
    </row>
    <row r="74" spans="2:6" x14ac:dyDescent="0.25">
      <c r="B74" s="127" t="s">
        <v>412</v>
      </c>
      <c r="C74" s="128"/>
      <c r="D74" s="109" t="str">
        <f>IF(ISBLANK(SelfDefinedCurrencySymbol),CurrencySymbol,SelfDefinedCurrencySymbol)&amp;"/year"</f>
        <v>$/year</v>
      </c>
      <c r="E74" s="110"/>
      <c r="F74" s="111">
        <f>IFERROR(Calculations!G8,0)</f>
        <v>0</v>
      </c>
    </row>
    <row r="75" spans="2:6" x14ac:dyDescent="0.25">
      <c r="B75" s="127" t="s">
        <v>223</v>
      </c>
      <c r="C75" s="128"/>
      <c r="D75" s="106" t="str">
        <f>IF(ISBLANK(SelfDefinedCurrencySymbol),CurrencySymbol,SelfDefinedCurrencySymbol)&amp;"/year"</f>
        <v>$/year</v>
      </c>
      <c r="E75" s="107"/>
      <c r="F75" s="108">
        <f>IFERROR(Calculations!G9-Calculations!G41,0)</f>
        <v>0</v>
      </c>
    </row>
    <row r="76" spans="2:6" x14ac:dyDescent="0.25">
      <c r="B76" s="127" t="s">
        <v>225</v>
      </c>
      <c r="C76" s="128"/>
      <c r="D76" s="109" t="str">
        <f>IF(ISBLANK(SelfDefinedCurrencySymbol),CurrencySymbol,SelfDefinedCurrencySymbol)&amp;"/year"</f>
        <v>$/year</v>
      </c>
      <c r="E76" s="110"/>
      <c r="F76" s="111">
        <f>IFERROR(SUM(F73:F75),0)</f>
        <v>0</v>
      </c>
    </row>
    <row r="77" spans="2:6" x14ac:dyDescent="0.25">
      <c r="B77" s="121" t="s">
        <v>413</v>
      </c>
      <c r="C77" s="122"/>
      <c r="D77" s="122"/>
      <c r="E77" s="122"/>
      <c r="F77" s="123"/>
    </row>
    <row r="78" spans="2:6" x14ac:dyDescent="0.25">
      <c r="B78" s="131" t="s">
        <v>414</v>
      </c>
      <c r="C78" s="132"/>
      <c r="D78" s="106" t="s">
        <v>186</v>
      </c>
      <c r="E78" s="107"/>
      <c r="F78" s="118" t="str">
        <f>IFERROR(MAX(_xlfn.FLOOR.MATH(-F71/F76,1),0),"")</f>
        <v/>
      </c>
    </row>
    <row r="79" spans="2:6" x14ac:dyDescent="0.25">
      <c r="B79" s="131"/>
      <c r="C79" s="132"/>
      <c r="D79" s="109" t="s">
        <v>420</v>
      </c>
      <c r="E79" s="110"/>
      <c r="F79" s="119" t="str">
        <f>IFERROR(MAX(_xlfn.FLOOR.MATH((-F71/F76-F78)*12,1),0),"")</f>
        <v/>
      </c>
    </row>
    <row r="80" spans="2:6" x14ac:dyDescent="0.25">
      <c r="B80" s="131"/>
      <c r="C80" s="132"/>
      <c r="D80" s="106" t="s">
        <v>421</v>
      </c>
      <c r="E80" s="107"/>
      <c r="F80" s="118" t="str">
        <f>IFERROR(MAX(_xlfn.FLOOR.MATH(-F71/F76*365-F78*365-F79*365/12,1),0),"")</f>
        <v/>
      </c>
    </row>
    <row r="81" spans="2:6" x14ac:dyDescent="0.25">
      <c r="B81" s="121" t="s">
        <v>415</v>
      </c>
      <c r="C81" s="122"/>
      <c r="D81" s="122"/>
      <c r="E81" s="122"/>
      <c r="F81" s="123"/>
    </row>
    <row r="82" spans="2:6" x14ac:dyDescent="0.25">
      <c r="B82" s="127" t="s">
        <v>261</v>
      </c>
      <c r="C82" s="128"/>
      <c r="D82" s="106" t="s">
        <v>425</v>
      </c>
      <c r="E82" s="107"/>
      <c r="F82" s="108">
        <f>IFERROR(Calculations!G17-Calculations!G51,0)</f>
        <v>0</v>
      </c>
    </row>
    <row r="83" spans="2:6" x14ac:dyDescent="0.25">
      <c r="B83" s="127" t="s">
        <v>259</v>
      </c>
      <c r="C83" s="128"/>
      <c r="D83" s="109" t="s">
        <v>426</v>
      </c>
      <c r="E83" s="110"/>
      <c r="F83" s="111">
        <f>IFERROR(-Calculations!G52,0)</f>
        <v>0</v>
      </c>
    </row>
    <row r="84" spans="2:6" x14ac:dyDescent="0.25">
      <c r="B84" s="102" t="str">
        <f>B66</f>
        <v>Fuel</v>
      </c>
      <c r="C84" s="103"/>
      <c r="D84" s="112" t="s">
        <v>426</v>
      </c>
      <c r="E84" s="113"/>
      <c r="F84" s="114">
        <f>IFERROR(Calculations!G18,0)</f>
        <v>0</v>
      </c>
    </row>
    <row r="85" spans="2:6" x14ac:dyDescent="0.25">
      <c r="B85" s="102" t="s">
        <v>423</v>
      </c>
      <c r="C85" s="103"/>
      <c r="D85" s="109" t="s">
        <v>426</v>
      </c>
      <c r="E85" s="110"/>
      <c r="F85" s="111">
        <f>IFERROR(Calculations!G19-Calculations!G55,0)</f>
        <v>0</v>
      </c>
    </row>
    <row r="86" spans="2:6" ht="15.75" thickBot="1" x14ac:dyDescent="0.3">
      <c r="B86" s="129" t="s">
        <v>416</v>
      </c>
      <c r="C86" s="130"/>
      <c r="D86" s="115" t="s">
        <v>419</v>
      </c>
      <c r="E86" s="116"/>
      <c r="F86" s="117">
        <f>IFERROR(F85/Calculations!G19*100,0)</f>
        <v>0</v>
      </c>
    </row>
  </sheetData>
  <sheetProtection password="E5E0" sheet="1" objects="1" scenarios="1" selectLockedCells="1"/>
  <mergeCells count="26">
    <mergeCell ref="B10:C10"/>
    <mergeCell ref="D9:F9"/>
    <mergeCell ref="D10:F10"/>
    <mergeCell ref="B9:C9"/>
    <mergeCell ref="B77:F77"/>
    <mergeCell ref="B76:C76"/>
    <mergeCell ref="D57:D61"/>
    <mergeCell ref="F57:F61"/>
    <mergeCell ref="B43:C43"/>
    <mergeCell ref="B75:C75"/>
    <mergeCell ref="B74:C74"/>
    <mergeCell ref="B73:C73"/>
    <mergeCell ref="B72:F72"/>
    <mergeCell ref="B70:C70"/>
    <mergeCell ref="B71:C71"/>
    <mergeCell ref="B69:C69"/>
    <mergeCell ref="B86:C86"/>
    <mergeCell ref="B83:C83"/>
    <mergeCell ref="B82:C82"/>
    <mergeCell ref="B81:F81"/>
    <mergeCell ref="B78:C80"/>
    <mergeCell ref="B68:F68"/>
    <mergeCell ref="B64:F64"/>
    <mergeCell ref="B67:C67"/>
    <mergeCell ref="B66:C66"/>
    <mergeCell ref="B65:C65"/>
  </mergeCells>
  <dataValidations count="30">
    <dataValidation type="list" allowBlank="1" showInputMessage="1" showErrorMessage="1" errorTitle="Invalid entry" error="Select country from drop-down list" sqref="D9:E9">
      <formula1>IF(D10="",Country,INDIRECT("FakeList"))</formula1>
    </dataValidation>
    <dataValidation type="list" allowBlank="1" showErrorMessage="1" errorTitle="Invalid entry" error="Select province/state from drop-down list, after entering a valid country" sqref="D10:E10">
      <formula1>INDIRECT($D$9)</formula1>
    </dataValidation>
    <dataValidation type="decimal" errorStyle="warning" allowBlank="1" showErrorMessage="1" errorTitle="Double check your units" error="Residential electricity prices are typically between $0 and $1/kWh" sqref="F19">
      <formula1>0</formula1>
      <formula2>1</formula2>
    </dataValidation>
    <dataValidation type="decimal" errorStyle="warning" allowBlank="1" showInputMessage="1" showErrorMessage="1" errorTitle="Double check your units" error="Grid emissions factors are typically between 0 and 1 kgCO2e/kWh" sqref="F20">
      <formula1>0</formula1>
      <formula2>1</formula2>
    </dataValidation>
    <dataValidation type="list" allowBlank="1" showInputMessage="1" showErrorMessage="1" sqref="D40">
      <formula1>EVList</formula1>
    </dataValidation>
    <dataValidation type="decimal" errorStyle="warning" allowBlank="1" showErrorMessage="1" errorTitle="Double check your units" error="Gasoline prices are typically between $0 and $2/L" sqref="F21">
      <formula1>0</formula1>
      <formula2>2</formula2>
    </dataValidation>
    <dataValidation type="decimal" errorStyle="warning" allowBlank="1" showErrorMessage="1" errorTitle="Double check your units" error="Diesel prices are typically between $0 and $2/L" sqref="F23">
      <formula1>0</formula1>
      <formula2>2</formula2>
    </dataValidation>
    <dataValidation type="decimal" errorStyle="warning" allowBlank="1" showErrorMessage="1" errorTitle="Double check your units" error="Gasoline emissions factors are typically between 2 and 3 kgCO2e/L" sqref="F22">
      <formula1>2</formula1>
      <formula2>3</formula2>
    </dataValidation>
    <dataValidation type="decimal" errorStyle="warning" allowBlank="1" showInputMessage="1" showErrorMessage="1" errorTitle="Double check your units" error="Diesel emissions factors are typically between 3 and 4 kgCO2e/L" sqref="F25">
      <formula1>0</formula1>
      <formula2>1</formula2>
    </dataValidation>
    <dataValidation type="decimal" allowBlank="1" showInputMessage="1" showErrorMessage="1" errorTitle="Invalid entry" error="Distance driven on highway must be between 0 and 100% of annual driving distance" sqref="F36">
      <formula1>0</formula1>
      <formula2>1</formula2>
    </dataValidation>
    <dataValidation type="whole" operator="greaterThan" allowBlank="1" showInputMessage="1" showErrorMessage="1" errorTitle="Invalid entry" error="Annual distance driven must be greater than 0 km" sqref="F35">
      <formula1>0</formula1>
    </dataValidation>
    <dataValidation type="list" allowBlank="1" showInputMessage="1" showErrorMessage="1" sqref="D44">
      <formula1>ICEVList</formula1>
    </dataValidation>
    <dataValidation type="textLength" allowBlank="1" showInputMessage="1" showErrorMessage="1" errorTitle="Entry too long" error="Limit your entry to 22 characters" sqref="F40 F44">
      <formula1>0</formula1>
      <formula2>22</formula2>
    </dataValidation>
    <dataValidation type="whole" errorStyle="warning" allowBlank="1" showErrorMessage="1" errorTitle="Double check your input" error="Most vehicles cost between $0 and $100,000" sqref="F41 F45">
      <formula1>0</formula1>
      <formula2>100000</formula2>
    </dataValidation>
    <dataValidation type="decimal" allowBlank="1" showInputMessage="1" showErrorMessage="1" errorTitle="Check your units" error="Average temperatures should be between -20 and 40 degrees Celcius" sqref="F13:F16">
      <formula1>-20</formula1>
      <formula2>40</formula2>
    </dataValidation>
    <dataValidation type="whole" errorStyle="warning" allowBlank="1" showInputMessage="1" showErrorMessage="1" errorTitle="Invalid entry" error="Vehicle ownership is generally between 0 and 30 years" sqref="F37">
      <formula1>0</formula1>
      <formula2>30</formula2>
    </dataValidation>
    <dataValidation type="decimal" errorStyle="warning" allowBlank="1" showErrorMessage="1" errorTitle="Check your input" error="Electric vehicle fuel economy is typically between 14 and 31 kWh/100 km" sqref="F42">
      <formula1>14</formula1>
      <formula2>31</formula2>
    </dataValidation>
    <dataValidation type="decimal" errorStyle="warning" allowBlank="1" showInputMessage="1" showErrorMessage="1" errorTitle="Check your input" error="Internal combustion vehicle fuel economy is typically between 4 and 13 L/100 km" sqref="F46">
      <formula1>4</formula1>
      <formula2>13</formula2>
    </dataValidation>
    <dataValidation type="list" allowBlank="1" showInputMessage="1" showErrorMessage="1" errorTitle="Invalid entry" error="Select an option from the drop down" sqref="F47">
      <formula1>"Gasoline,Diesel"</formula1>
    </dataValidation>
    <dataValidation type="decimal" errorStyle="warning" allowBlank="1" showErrorMessage="1" errorTitle="Check your input" error="Vehicle maintenance is generally between $0 and $3.50/100 km" sqref="F50:F51">
      <formula1>0</formula1>
      <formula2>3.5</formula2>
    </dataValidation>
    <dataValidation type="whole" errorStyle="warning" allowBlank="1" showErrorMessage="1" errorTitle="Check your input" error="Vehicle manufacturing emissions are generally between 6,000 and 16,000 kgCO2e" sqref="F53:F54">
      <formula1>6000</formula1>
      <formula2>16000</formula2>
    </dataValidation>
    <dataValidation type="decimal" errorStyle="warning" allowBlank="1" showInputMessage="1" showErrorMessage="1" errorTitle="Double check your input" error="Unless you are installing several chargers, or require significant upgrading, an EV charging upgrade shouldn't cost more than $5,000" sqref="F57:F61">
      <formula1>0</formula1>
      <formula2>5000</formula2>
    </dataValidation>
    <dataValidation type="whole" errorStyle="warning" allowBlank="1" showInputMessage="1" showErrorMessage="1" errorTitle="Check your input" error="Auto loans are typically between 2 and 8 years " sqref="F30">
      <formula1>2</formula1>
      <formula2>8</formula2>
    </dataValidation>
    <dataValidation type="decimal" errorStyle="warning" allowBlank="1" showErrorMessage="1" errorTitle="Check your input" error="Auto loan interest rates are generally between 2 and 6 % (depending on a number of factors)" sqref="F31">
      <formula1>0.02</formula1>
      <formula2>0.06</formula2>
    </dataValidation>
    <dataValidation type="decimal" allowBlank="1" showInputMessage="1" showErrorMessage="1" errorTitle="Check your input" error="Down payment must be between 0 and 100%" sqref="F32">
      <formula1>0</formula1>
      <formula2>1</formula2>
    </dataValidation>
    <dataValidation type="decimal" errorStyle="warning" allowBlank="1" showInputMessage="1" showErrorMessage="1" errorTitle="Double check your units" error="Diesel emissions factors are typically between 3 and 4 kgCO2e/L" sqref="F24">
      <formula1>3</formula1>
      <formula2>4</formula2>
    </dataValidation>
    <dataValidation type="decimal" operator="greaterThan" allowBlank="1" showInputMessage="1" showErrorMessage="1" errorTitle="Invalid entry" error="Conversion must be a positive number" sqref="F26">
      <formula1>0</formula1>
    </dataValidation>
    <dataValidation type="list" allowBlank="1" showInputMessage="1" showErrorMessage="1" sqref="F27">
      <formula1>CurrencySymbolList</formula1>
    </dataValidation>
    <dataValidation type="decimal" operator="greaterThanOrEqual" allowBlank="1" showInputMessage="1" showErrorMessage="1" errorTitle="Invalid Entry" error="Enter the total value of the subsidy as a positive (&gt;0) value" sqref="F29">
      <formula1>0</formula1>
    </dataValidation>
    <dataValidation type="decimal" errorStyle="warning" allowBlank="1" showInputMessage="1" showErrorMessage="1" errorTitle="Check your input" error="Sales tax is typically between 0% and 15%, depending on location" sqref="F28">
      <formula1>0</formula1>
      <formula2>0.15</formula2>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2059" r:id="rId4" name="Level2Charger">
          <controlPr autoLine="0" linkedCell="Backhouse!R2" r:id="rId5">
            <anchor moveWithCells="1">
              <from>
                <xdr:col>2</xdr:col>
                <xdr:colOff>371475</xdr:colOff>
                <xdr:row>56</xdr:row>
                <xdr:rowOff>9525</xdr:rowOff>
              </from>
              <to>
                <xdr:col>2</xdr:col>
                <xdr:colOff>552450</xdr:colOff>
                <xdr:row>57</xdr:row>
                <xdr:rowOff>0</xdr:rowOff>
              </to>
            </anchor>
          </controlPr>
        </control>
      </mc:Choice>
      <mc:Fallback>
        <control shapeId="2059" r:id="rId4" name="Level2Charger"/>
      </mc:Fallback>
    </mc:AlternateContent>
    <mc:AlternateContent xmlns:mc="http://schemas.openxmlformats.org/markup-compatibility/2006">
      <mc:Choice Requires="x14">
        <control shapeId="2058" r:id="rId6" name="Trenching">
          <controlPr autoLine="0" linkedCell="Backhouse!R4" r:id="rId5">
            <anchor moveWithCells="1">
              <from>
                <xdr:col>2</xdr:col>
                <xdr:colOff>371475</xdr:colOff>
                <xdr:row>60</xdr:row>
                <xdr:rowOff>9525</xdr:rowOff>
              </from>
              <to>
                <xdr:col>2</xdr:col>
                <xdr:colOff>552450</xdr:colOff>
                <xdr:row>60</xdr:row>
                <xdr:rowOff>190500</xdr:rowOff>
              </to>
            </anchor>
          </controlPr>
        </control>
      </mc:Choice>
      <mc:Fallback>
        <control shapeId="2058" r:id="rId6" name="Trenching"/>
      </mc:Fallback>
    </mc:AlternateContent>
    <mc:AlternateContent xmlns:mc="http://schemas.openxmlformats.org/markup-compatibility/2006">
      <mc:Choice Requires="x14">
        <control shapeId="2057" r:id="rId7" name="SubPanel">
          <controlPr autoLine="0" linkedCell="Backhouse!R5" r:id="rId5">
            <anchor moveWithCells="1">
              <from>
                <xdr:col>2</xdr:col>
                <xdr:colOff>371475</xdr:colOff>
                <xdr:row>59</xdr:row>
                <xdr:rowOff>9525</xdr:rowOff>
              </from>
              <to>
                <xdr:col>2</xdr:col>
                <xdr:colOff>552450</xdr:colOff>
                <xdr:row>60</xdr:row>
                <xdr:rowOff>0</xdr:rowOff>
              </to>
            </anchor>
          </controlPr>
        </control>
      </mc:Choice>
      <mc:Fallback>
        <control shapeId="2057" r:id="rId7" name="SubPanel"/>
      </mc:Fallback>
    </mc:AlternateContent>
    <mc:AlternateContent xmlns:mc="http://schemas.openxmlformats.org/markup-compatibility/2006">
      <mc:Choice Requires="x14">
        <control shapeId="2056" r:id="rId8" name="PanelUpgrade">
          <controlPr autoLine="0" linkedCell="Backhouse!R6" r:id="rId5">
            <anchor moveWithCells="1">
              <from>
                <xdr:col>2</xdr:col>
                <xdr:colOff>371475</xdr:colOff>
                <xdr:row>58</xdr:row>
                <xdr:rowOff>9525</xdr:rowOff>
              </from>
              <to>
                <xdr:col>2</xdr:col>
                <xdr:colOff>552450</xdr:colOff>
                <xdr:row>59</xdr:row>
                <xdr:rowOff>0</xdr:rowOff>
              </to>
            </anchor>
          </controlPr>
        </control>
      </mc:Choice>
      <mc:Fallback>
        <control shapeId="2056" r:id="rId8" name="PanelUpgrade"/>
      </mc:Fallback>
    </mc:AlternateContent>
    <mc:AlternateContent xmlns:mc="http://schemas.openxmlformats.org/markup-compatibility/2006">
      <mc:Choice Requires="x14">
        <control shapeId="2055" r:id="rId9" name="LoadManagement">
          <controlPr autoLine="0" linkedCell="Backhouse!R3" r:id="rId5">
            <anchor moveWithCells="1">
              <from>
                <xdr:col>2</xdr:col>
                <xdr:colOff>371475</xdr:colOff>
                <xdr:row>57</xdr:row>
                <xdr:rowOff>9525</xdr:rowOff>
              </from>
              <to>
                <xdr:col>2</xdr:col>
                <xdr:colOff>552450</xdr:colOff>
                <xdr:row>58</xdr:row>
                <xdr:rowOff>0</xdr:rowOff>
              </to>
            </anchor>
          </controlPr>
        </control>
      </mc:Choice>
      <mc:Fallback>
        <control shapeId="2055" r:id="rId9" name="LoadManagement"/>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70"/>
  <sheetViews>
    <sheetView topLeftCell="L1" workbookViewId="0">
      <selection activeCell="L1" sqref="L1"/>
    </sheetView>
  </sheetViews>
  <sheetFormatPr defaultRowHeight="15" x14ac:dyDescent="0.25"/>
  <cols>
    <col min="1" max="1" width="61" style="6" hidden="1" customWidth="1"/>
    <col min="2" max="2" width="12.5703125" style="6" hidden="1" customWidth="1"/>
    <col min="3" max="3" width="15.5703125" style="6" hidden="1" customWidth="1"/>
    <col min="4" max="4" width="9.140625" style="6" hidden="1" customWidth="1"/>
    <col min="5" max="5" width="26.85546875" style="6" hidden="1" customWidth="1"/>
    <col min="6" max="6" width="13.28515625" style="6" hidden="1" customWidth="1"/>
    <col min="7" max="7" width="9.7109375" style="6" hidden="1" customWidth="1"/>
    <col min="8" max="8" width="13.140625" style="6" hidden="1" customWidth="1"/>
    <col min="9" max="9" width="12.42578125" style="6" hidden="1" customWidth="1"/>
    <col min="10" max="10" width="15.42578125" style="6" hidden="1" customWidth="1"/>
    <col min="11" max="11" width="10" style="6" hidden="1" customWidth="1"/>
    <col min="12" max="16384" width="9.140625" style="6"/>
  </cols>
  <sheetData>
    <row r="1" spans="1:7" x14ac:dyDescent="0.25">
      <c r="A1" s="47" t="s">
        <v>188</v>
      </c>
      <c r="B1" s="47"/>
      <c r="E1" s="47" t="s">
        <v>221</v>
      </c>
    </row>
    <row r="2" spans="1:7" x14ac:dyDescent="0.25">
      <c r="A2" s="49" t="s">
        <v>200</v>
      </c>
      <c r="B2" s="49"/>
      <c r="E2" s="49" t="s">
        <v>224</v>
      </c>
      <c r="G2" s="6" t="s">
        <v>240</v>
      </c>
    </row>
    <row r="3" spans="1:7" x14ac:dyDescent="0.25">
      <c r="A3" s="6" t="s">
        <v>178</v>
      </c>
      <c r="B3" s="6" t="s">
        <v>163</v>
      </c>
      <c r="C3" s="6">
        <f>CurrencyMultiplier</f>
        <v>1</v>
      </c>
      <c r="E3" s="6" t="s">
        <v>156</v>
      </c>
      <c r="F3" s="6" t="s">
        <v>206</v>
      </c>
      <c r="G3" s="74" t="str">
        <f>IFERROR(C30*$C$3,"")</f>
        <v/>
      </c>
    </row>
    <row r="4" spans="1:7" x14ac:dyDescent="0.25">
      <c r="A4" s="6" t="s">
        <v>311</v>
      </c>
      <c r="B4" s="6" t="s">
        <v>312</v>
      </c>
      <c r="C4" s="101" t="str">
        <f>IF(ISBLANK(SelfDefinedCurrencySymbol),CurrencySymbol,SelfDefinedCurrencySymbol)</f>
        <v>$</v>
      </c>
      <c r="E4" s="6" t="s">
        <v>190</v>
      </c>
      <c r="F4" s="6" t="s">
        <v>206</v>
      </c>
      <c r="G4" s="74" t="e">
        <f>G3*C7</f>
        <v>#VALUE!</v>
      </c>
    </row>
    <row r="5" spans="1:7" x14ac:dyDescent="0.25">
      <c r="A5" s="6" t="s">
        <v>189</v>
      </c>
      <c r="B5" s="6" t="s">
        <v>186</v>
      </c>
      <c r="C5" s="6">
        <f>IF(ISBLANK(SelfDefinedLengthofOwnership),LengthofOwnership,SelfDefinedLengthofOwnership)</f>
        <v>12</v>
      </c>
      <c r="E5" s="6" t="s">
        <v>299</v>
      </c>
      <c r="F5" s="6" t="s">
        <v>206</v>
      </c>
      <c r="G5" s="74" t="str">
        <f>IFERROR((G3+G4)*C10,"")</f>
        <v/>
      </c>
    </row>
    <row r="6" spans="1:7" x14ac:dyDescent="0.25">
      <c r="A6" s="6" t="s">
        <v>404</v>
      </c>
      <c r="B6" s="6" t="s">
        <v>206</v>
      </c>
      <c r="C6" s="6">
        <f>IF(ISBLANK(SelfDefinedEVSubsidy),EVSubsidy,SelfDefinedEVSubsidy)</f>
        <v>0</v>
      </c>
      <c r="E6" s="6" t="s">
        <v>302</v>
      </c>
      <c r="F6" s="6" t="s">
        <v>206</v>
      </c>
      <c r="G6" s="74" t="str">
        <f>IFERROR(G3+G4-G5,"")</f>
        <v/>
      </c>
    </row>
    <row r="7" spans="1:7" x14ac:dyDescent="0.25">
      <c r="A7" s="6" t="s">
        <v>190</v>
      </c>
      <c r="B7" s="6" t="s">
        <v>203</v>
      </c>
      <c r="C7" s="6" t="str">
        <f>IF(ISBLANK(SelfDefinedSalesTax),SalesTax,SelfDefinedSalesTax)</f>
        <v/>
      </c>
      <c r="E7" s="6" t="s">
        <v>300</v>
      </c>
      <c r="F7" s="6" t="s">
        <v>206</v>
      </c>
      <c r="G7" s="74" t="str">
        <f>IFERROR((G6*C9)/(1-(1+C9)^(-C8)),"")</f>
        <v/>
      </c>
    </row>
    <row r="8" spans="1:7" x14ac:dyDescent="0.25">
      <c r="A8" s="6" t="s">
        <v>295</v>
      </c>
      <c r="B8" s="6" t="s">
        <v>186</v>
      </c>
      <c r="C8" s="6">
        <f>IF(ISBLANK(SelfDefinedLoanTerm),LoanTerm,SelfDefinedLoanTerm)</f>
        <v>4</v>
      </c>
      <c r="E8" s="6" t="str">
        <f>IF(C31="","Fuel",C31)</f>
        <v>Fuel</v>
      </c>
      <c r="F8" s="6" t="s">
        <v>222</v>
      </c>
      <c r="G8" s="74">
        <f>IFERROR(C17*C35*C32/100*$C$3,0)</f>
        <v>0</v>
      </c>
    </row>
    <row r="9" spans="1:7" x14ac:dyDescent="0.25">
      <c r="A9" s="6" t="s">
        <v>296</v>
      </c>
      <c r="B9" s="6" t="s">
        <v>203</v>
      </c>
      <c r="C9" s="76">
        <f>IF(ISBLANK(SelfDefinedInterestRate),InterestRate,SelfDefinedInterestRate)</f>
        <v>0.05</v>
      </c>
      <c r="E9" s="6" t="s">
        <v>260</v>
      </c>
      <c r="F9" s="6" t="s">
        <v>222</v>
      </c>
      <c r="G9" s="74">
        <f>IFERROR(C17*C33/100*$C$3,"")</f>
        <v>0</v>
      </c>
    </row>
    <row r="10" spans="1:7" x14ac:dyDescent="0.25">
      <c r="A10" s="6" t="s">
        <v>298</v>
      </c>
      <c r="B10" s="6" t="s">
        <v>203</v>
      </c>
      <c r="C10" s="76">
        <f>IF(ISBLANK(SelfDefinedDownPayment),DownPayment,SelfDefinedDownPayment)</f>
        <v>0.1</v>
      </c>
      <c r="E10" s="6" t="s">
        <v>226</v>
      </c>
      <c r="F10" s="6" t="s">
        <v>222</v>
      </c>
      <c r="G10" s="74" t="str">
        <f>IFERROR(G15/C5*$C$3,"")</f>
        <v/>
      </c>
    </row>
    <row r="11" spans="1:7" x14ac:dyDescent="0.25">
      <c r="A11" s="49" t="s">
        <v>197</v>
      </c>
      <c r="B11" s="49"/>
      <c r="E11" s="6" t="s">
        <v>258</v>
      </c>
      <c r="F11" s="6" t="s">
        <v>206</v>
      </c>
      <c r="G11" s="74" t="str">
        <f>IFERROR(G5+G7*C8,"")</f>
        <v/>
      </c>
    </row>
    <row r="12" spans="1:7" x14ac:dyDescent="0.25">
      <c r="A12" s="6" t="s">
        <v>207</v>
      </c>
      <c r="B12" s="6" t="s">
        <v>211</v>
      </c>
      <c r="C12" s="6" t="str">
        <f>IF(ISBLANK(SelfDefinedWinterTemp),WinterTemp,SelfDefinedWinterTemp)</f>
        <v/>
      </c>
      <c r="E12" s="6" t="s">
        <v>303</v>
      </c>
      <c r="F12" s="6" t="s">
        <v>206</v>
      </c>
      <c r="G12" s="74" t="str">
        <f>IFERROR(G11-G3-G4,"")</f>
        <v/>
      </c>
    </row>
    <row r="13" spans="1:7" x14ac:dyDescent="0.25">
      <c r="A13" s="6" t="s">
        <v>208</v>
      </c>
      <c r="B13" s="6" t="s">
        <v>211</v>
      </c>
      <c r="C13" s="6" t="str">
        <f>IF(ISBLANK(SelfDefinedSpringTemp),SpringTemp,SelfDefinedSpringTemp)</f>
        <v/>
      </c>
      <c r="D13" s="47"/>
      <c r="E13" s="6" t="s">
        <v>250</v>
      </c>
      <c r="F13" s="6" t="str">
        <f>"$/"&amp;$C$5&amp;"yrs"</f>
        <v>$/12yrs</v>
      </c>
      <c r="G13" s="74">
        <f>IFERROR(G8*C5,"")</f>
        <v>0</v>
      </c>
    </row>
    <row r="14" spans="1:7" x14ac:dyDescent="0.25">
      <c r="A14" s="6" t="s">
        <v>209</v>
      </c>
      <c r="B14" s="6" t="s">
        <v>211</v>
      </c>
      <c r="C14" s="6" t="str">
        <f>IF(ISBLANK(SelfDefinedSummerTemp),SummerTemp,SelfDefinedSummerTemp)</f>
        <v/>
      </c>
      <c r="E14" s="6" t="s">
        <v>251</v>
      </c>
      <c r="F14" s="6" t="str">
        <f>"$/"&amp;$C$5&amp;"yrs"</f>
        <v>$/12yrs</v>
      </c>
      <c r="G14" s="74">
        <f>IFERROR(G9*C5,"")</f>
        <v>0</v>
      </c>
    </row>
    <row r="15" spans="1:7" x14ac:dyDescent="0.25">
      <c r="A15" s="6" t="s">
        <v>210</v>
      </c>
      <c r="B15" s="6" t="s">
        <v>211</v>
      </c>
      <c r="C15" s="6" t="str">
        <f>IF(ISBLANK(SelfDefinedFallTemp),FallTemp,SelfDefinedFallTemp)</f>
        <v/>
      </c>
      <c r="E15" s="6" t="s">
        <v>225</v>
      </c>
      <c r="F15" s="6" t="str">
        <f>"$/"&amp;$C$5&amp;"yrs"</f>
        <v>$/12yrs</v>
      </c>
      <c r="G15" s="74" t="str">
        <f>IFERROR(G11+SUM(G13:G14),"")</f>
        <v/>
      </c>
    </row>
    <row r="16" spans="1:7" x14ac:dyDescent="0.25">
      <c r="A16" s="49" t="s">
        <v>125</v>
      </c>
      <c r="E16" s="49" t="s">
        <v>227</v>
      </c>
    </row>
    <row r="17" spans="1:11" x14ac:dyDescent="0.25">
      <c r="A17" s="6" t="s">
        <v>218</v>
      </c>
      <c r="B17" s="6" t="s">
        <v>219</v>
      </c>
      <c r="C17" s="6">
        <f>IF(ISBLANK(SelfDefinedDrivingDistance),DrivingDistance,SelfDefinedDrivingDistance)</f>
        <v>20000</v>
      </c>
      <c r="E17" s="6" t="s">
        <v>261</v>
      </c>
      <c r="F17" s="6" t="s">
        <v>233</v>
      </c>
      <c r="G17" s="74">
        <f>C36</f>
        <v>0</v>
      </c>
    </row>
    <row r="18" spans="1:11" x14ac:dyDescent="0.25">
      <c r="A18" s="49" t="s">
        <v>100</v>
      </c>
      <c r="E18" s="6" t="str">
        <f>C31</f>
        <v>Fuel</v>
      </c>
      <c r="F18" s="6" t="s">
        <v>237</v>
      </c>
      <c r="G18" s="74">
        <f>IFERROR(C17*C35*C34/100,0)</f>
        <v>0</v>
      </c>
    </row>
    <row r="19" spans="1:11" x14ac:dyDescent="0.25">
      <c r="A19" s="6" t="s">
        <v>249</v>
      </c>
      <c r="B19" s="6" t="s">
        <v>247</v>
      </c>
      <c r="C19" s="6" t="str">
        <f>IF(ISBLANK(SelfDefinedEVMakeModel),IF(ISBLANK(EVMakeModel),"EV",EVMakeModel),SelfDefinedEVMakeModel)</f>
        <v>EV</v>
      </c>
      <c r="E19" s="6" t="s">
        <v>239</v>
      </c>
      <c r="F19" s="6" t="s">
        <v>237</v>
      </c>
      <c r="G19" s="74">
        <f>IFERROR(G21/C5,"")</f>
        <v>0</v>
      </c>
    </row>
    <row r="20" spans="1:11" x14ac:dyDescent="0.25">
      <c r="A20" s="6" t="s">
        <v>191</v>
      </c>
      <c r="B20" s="6" t="s">
        <v>206</v>
      </c>
      <c r="C20" s="6" t="str">
        <f>IF(ISBLANK(SelfDefinedEVPrice),EVPrice,SelfDefinedEVPrice)</f>
        <v/>
      </c>
      <c r="E20" s="6" t="s">
        <v>252</v>
      </c>
      <c r="F20" s="6" t="str">
        <f>"kgCO2e/"&amp;$C$5&amp;"yrs"</f>
        <v>kgCO2e/12yrs</v>
      </c>
      <c r="G20" s="74">
        <f>IFERROR(G18*C5,"")</f>
        <v>0</v>
      </c>
    </row>
    <row r="21" spans="1:11" x14ac:dyDescent="0.25">
      <c r="A21" s="6" t="s">
        <v>290</v>
      </c>
      <c r="B21" s="6" t="s">
        <v>206</v>
      </c>
      <c r="C21" s="6">
        <f>IF(ISBLANK(SelfDefinedChargerInstallCost),ChargerInstallCost,SelfDefinedChargerInstallCost)</f>
        <v>0</v>
      </c>
      <c r="E21" s="6" t="s">
        <v>238</v>
      </c>
      <c r="F21" s="6" t="str">
        <f>"kgCO2e/"&amp;$C$5&amp;"yrs"</f>
        <v>kgCO2e/12yrs</v>
      </c>
      <c r="G21" s="74">
        <f>IFERROR(G17+G20,"")</f>
        <v>0</v>
      </c>
    </row>
    <row r="22" spans="1:11" x14ac:dyDescent="0.25">
      <c r="A22" s="6" t="s">
        <v>199</v>
      </c>
      <c r="B22" s="6" t="s">
        <v>205</v>
      </c>
      <c r="C22" s="6" t="str">
        <f>IF(ISBLANK(SelfDefinedElectricityPrice),ElectricityPrice,SelfDefinedElectricityPrice)</f>
        <v/>
      </c>
      <c r="E22" s="49" t="s">
        <v>424</v>
      </c>
    </row>
    <row r="23" spans="1:11" x14ac:dyDescent="0.25">
      <c r="A23" s="6" t="s">
        <v>215</v>
      </c>
      <c r="B23" s="6" t="s">
        <v>216</v>
      </c>
      <c r="C23" s="6">
        <f>IF(AND(ISBLANK(EVMakeModel),ISBLANK(SelfDefinedEVMakeModel)),0,IF(ISBLANK(SelfDefinedEVMaintenance),EVMaintenance,SelfDefinedEVMaintenance))</f>
        <v>0</v>
      </c>
      <c r="E23" s="6" t="s">
        <v>267</v>
      </c>
      <c r="F23" s="6" t="s">
        <v>204</v>
      </c>
      <c r="G23" s="105" t="e">
        <f>C35*VLOOKUP(C31,EnergyInFuel,2,FALSE)</f>
        <v>#VALUE!</v>
      </c>
    </row>
    <row r="24" spans="1:11" x14ac:dyDescent="0.25">
      <c r="A24" s="6" t="s">
        <v>201</v>
      </c>
      <c r="B24" s="6" t="s">
        <v>70</v>
      </c>
      <c r="C24" s="6" t="str">
        <f>IF(ISBLANK(SelfDefinedElectricityEmissions),ElectricityEmissions,SelfDefinedElectricityEmissions)</f>
        <v/>
      </c>
      <c r="E24" s="47" t="s">
        <v>241</v>
      </c>
      <c r="G24" s="6" t="s">
        <v>240</v>
      </c>
      <c r="H24" s="6" t="str">
        <f>"Winter"&amp;CHAR(10)&amp;"("&amp;H25&amp;CHAR(176)&amp;"C)"</f>
        <v>Winter
(°C)</v>
      </c>
      <c r="I24" s="6" t="str">
        <f>"Spring"&amp;CHAR(10)&amp;"("&amp;I25&amp;CHAR(176)&amp;"C)"</f>
        <v>Spring
(°C)</v>
      </c>
      <c r="J24" s="6" t="str">
        <f>"Summer"&amp;CHAR(10)&amp;"("&amp;J25&amp;CHAR(176)&amp;"C)"</f>
        <v>Summer
(°C)</v>
      </c>
      <c r="K24" s="6" t="str">
        <f>"Fall"&amp;CHAR(10)&amp;"("&amp;K25&amp;CHAR(176)&amp;"C)"</f>
        <v>Fall
(°C)</v>
      </c>
    </row>
    <row r="25" spans="1:11" x14ac:dyDescent="0.25">
      <c r="A25" s="6" t="s">
        <v>193</v>
      </c>
      <c r="B25" s="6" t="s">
        <v>204</v>
      </c>
      <c r="C25" s="6" t="str">
        <f>IF(ISBLANK(SelfDefinedEVEconomy),EVEconomy,SelfDefinedEVEconomy)</f>
        <v/>
      </c>
      <c r="E25" s="6" t="s">
        <v>268</v>
      </c>
      <c r="F25" s="6" t="s">
        <v>211</v>
      </c>
      <c r="G25" s="75" t="str">
        <f>IFERROR(AVERAGE(H25:K25),"")</f>
        <v/>
      </c>
      <c r="H25" s="6" t="str">
        <f>C12</f>
        <v/>
      </c>
      <c r="I25" s="6" t="str">
        <f>C13</f>
        <v/>
      </c>
      <c r="J25" s="6" t="str">
        <f>C14</f>
        <v/>
      </c>
      <c r="K25" s="6" t="str">
        <f>C15</f>
        <v/>
      </c>
    </row>
    <row r="26" spans="1:11" x14ac:dyDescent="0.25">
      <c r="A26" s="6" t="s">
        <v>195</v>
      </c>
      <c r="B26" s="6" t="s">
        <v>203</v>
      </c>
      <c r="C26" s="72">
        <v>0.9</v>
      </c>
      <c r="E26" s="6" t="s">
        <v>242</v>
      </c>
      <c r="F26" s="6" t="s">
        <v>203</v>
      </c>
      <c r="G26" s="72" t="str">
        <f>IFERROR(AVERAGE(H26:K26),"")</f>
        <v/>
      </c>
      <c r="H26" s="76" t="str">
        <f>IFERROR(FORECAST(H25,INDEX(EVRangevsTemp,MATCH(H25,Temp,1),2):INDEX(EVRangevsTemp,MATCH(H25,Temp,1)+1,2),INDEX(EVRangevsTemp,MATCH(H25,Temp,1),1):INDEX(EVRangevsTemp,MATCH(H25,Temp,1)+1,1)),"")</f>
        <v/>
      </c>
      <c r="I26" s="76" t="str">
        <f>IFERROR(FORECAST(I25,INDEX(EVRangevsTemp,MATCH(I25,Temp,1),2):INDEX(EVRangevsTemp,MATCH(I25,Temp,1)+1,2),INDEX(EVRangevsTemp,MATCH(I25,Temp,1),1):INDEX(EVRangevsTemp,MATCH(I25,Temp,1)+1,1)),"")</f>
        <v/>
      </c>
      <c r="J26" s="76" t="str">
        <f>IFERROR(FORECAST(J25,INDEX(EVRangevsTemp,MATCH(J25,Temp,1),2):INDEX(EVRangevsTemp,MATCH(J25,Temp,1)+1,2),INDEX(EVRangevsTemp,MATCH(J25,Temp,1),1):INDEX(EVRangevsTemp,MATCH(J25,Temp,1)+1,1)),"")</f>
        <v/>
      </c>
      <c r="K26" s="76" t="str">
        <f>IFERROR(FORECAST(K25,INDEX(EVRangevsTemp,MATCH(K25,Temp,1),2):INDEX(EVRangevsTemp,MATCH(K25,Temp,1)+1,2),INDEX(EVRangevsTemp,MATCH(K25,Temp,1),1):INDEX(EVRangevsTemp,MATCH(K25,Temp,1)+1,1)),"")</f>
        <v/>
      </c>
    </row>
    <row r="27" spans="1:11" x14ac:dyDescent="0.25">
      <c r="A27" s="6" t="s">
        <v>234</v>
      </c>
      <c r="B27" s="6" t="s">
        <v>233</v>
      </c>
      <c r="C27" s="6">
        <f>IF(AND(ISBLANK(EVMakeModel),ISBLANK(SelfDefinedEVMakeModel)),0,IF(ISBLANK(SelfDefinedEVManufacturingEmissions),EVManufacturingEmissions,SelfDefinedEVManufacturingEmissions))</f>
        <v>0</v>
      </c>
      <c r="E27" s="6" t="s">
        <v>243</v>
      </c>
      <c r="F27" s="6" t="s">
        <v>244</v>
      </c>
      <c r="G27" s="74">
        <f>IFERROR(SUM(H27:K27),"")</f>
        <v>0</v>
      </c>
      <c r="H27" s="74" t="str">
        <f>IFERROR($C$17*$C$25/100/H26/$C$26/4,"")</f>
        <v/>
      </c>
      <c r="I27" s="74" t="str">
        <f>IFERROR($C$17*$C$25/100/I26/$C$26/4,"")</f>
        <v/>
      </c>
      <c r="J27" s="74" t="str">
        <f>IFERROR($C$17*$C$25/100/J26/$C$26/4,"")</f>
        <v/>
      </c>
      <c r="K27" s="74" t="str">
        <f>IFERROR($C$17*$C$25/100/K26/$C$26/4,"")</f>
        <v/>
      </c>
    </row>
    <row r="28" spans="1:11" x14ac:dyDescent="0.25">
      <c r="A28" s="49" t="s">
        <v>165</v>
      </c>
      <c r="B28" s="49"/>
      <c r="E28" s="6" t="s">
        <v>267</v>
      </c>
      <c r="F28" s="6" t="s">
        <v>244</v>
      </c>
      <c r="G28" s="74" t="str">
        <f>IFERROR(C17*C25/100/C26,"")</f>
        <v/>
      </c>
      <c r="H28" s="74" t="str">
        <f>IFERROR(MIN($G$28/4,H27),"")</f>
        <v/>
      </c>
      <c r="I28" s="74" t="str">
        <f>IFERROR(MIN($G$28/4,I27),"")</f>
        <v/>
      </c>
      <c r="J28" s="74" t="str">
        <f>IFERROR(MIN($G$28/4,J27),"")</f>
        <v/>
      </c>
      <c r="K28" s="74" t="str">
        <f>IFERROR(MIN($G$28/4,K27),"")</f>
        <v/>
      </c>
    </row>
    <row r="29" spans="1:11" x14ac:dyDescent="0.25">
      <c r="A29" s="6" t="s">
        <v>248</v>
      </c>
      <c r="B29" s="6" t="s">
        <v>247</v>
      </c>
      <c r="C29" s="6" t="str">
        <f>IF(ISBLANK(SelfDefinedICEVMakeModel),IF(ISBLANK(ICEVMakeModel),"ICEV",ICEVMakeModel),SelfDefinedICEVMakeModel)</f>
        <v>ICEV</v>
      </c>
      <c r="E29" s="6" t="s">
        <v>263</v>
      </c>
      <c r="F29" s="6" t="s">
        <v>244</v>
      </c>
      <c r="G29" s="74" t="str">
        <f>IFERROR(G27-G28,"")</f>
        <v/>
      </c>
      <c r="H29" s="74" t="str">
        <f>IFERROR(H27-H28,"")</f>
        <v/>
      </c>
      <c r="I29" s="74" t="str">
        <f>IFERROR(I27-I28,"")</f>
        <v/>
      </c>
      <c r="J29" s="74" t="str">
        <f>IFERROR(J27-J28,"")</f>
        <v/>
      </c>
      <c r="K29" s="74" t="str">
        <f>IFERROR(K27-K28,"")</f>
        <v/>
      </c>
    </row>
    <row r="30" spans="1:11" x14ac:dyDescent="0.25">
      <c r="A30" s="6" t="s">
        <v>192</v>
      </c>
      <c r="B30" s="6" t="s">
        <v>206</v>
      </c>
      <c r="C30" s="6" t="str">
        <f>IF(ISBLANK(SelfDefinedICEVPrice),ICEVPrice,SelfDefinedICEVPrice)</f>
        <v/>
      </c>
      <c r="E30" s="49" t="s">
        <v>224</v>
      </c>
    </row>
    <row r="31" spans="1:11" x14ac:dyDescent="0.25">
      <c r="A31" s="6" t="s">
        <v>196</v>
      </c>
      <c r="B31" s="6" t="s">
        <v>213</v>
      </c>
      <c r="C31" s="6" t="str">
        <f>IF(ISBLANK(SelfDefinedICEVFuelType),IF(ICEVFuelType="","Fuel",ICEVFuelType),SelfDefinedICEVFuelType)</f>
        <v>Fuel</v>
      </c>
      <c r="E31" s="6" t="s">
        <v>156</v>
      </c>
      <c r="F31" s="6" t="s">
        <v>206</v>
      </c>
      <c r="G31" s="74" t="str">
        <f>IFERROR(C20*$C$3,"")</f>
        <v/>
      </c>
    </row>
    <row r="32" spans="1:11" x14ac:dyDescent="0.25">
      <c r="A32" s="6" t="s">
        <v>198</v>
      </c>
      <c r="B32" s="6" t="s">
        <v>212</v>
      </c>
      <c r="C32" s="6" t="str">
        <f>IF(C31="Gasoline",IF(ISBLANK(SelfDefinedGasolinePrice),GasolinePrice,SelfDefinedGasolinePrice),IF(C31="Diesel",IF(ISBLANK(SelfDefinedDieselPrice),DieselPrice,SelfDefinedDieselPrice),""))</f>
        <v/>
      </c>
      <c r="E32" s="6" t="s">
        <v>190</v>
      </c>
      <c r="F32" s="6" t="s">
        <v>206</v>
      </c>
      <c r="G32" s="74" t="e">
        <f>G31*C7</f>
        <v>#VALUE!</v>
      </c>
    </row>
    <row r="33" spans="1:11" x14ac:dyDescent="0.25">
      <c r="A33" s="6" t="s">
        <v>217</v>
      </c>
      <c r="B33" s="6" t="s">
        <v>216</v>
      </c>
      <c r="C33" s="6">
        <f>IF(AND(ISBLANK(ICEVMakeModel),ISBLANK(SelfDefinedICEVMakeModel)),0,IF(ISBLANK(SelfDefinedICEVMaintenance),ICEVMaintenance,SelfDefinedICEVMaintenance))</f>
        <v>0</v>
      </c>
      <c r="E33" s="6" t="s">
        <v>299</v>
      </c>
      <c r="F33" s="6" t="s">
        <v>206</v>
      </c>
      <c r="G33" s="74" t="str">
        <f>IFERROR((G31+G32+G37)*C10,"")</f>
        <v/>
      </c>
    </row>
    <row r="34" spans="1:11" x14ac:dyDescent="0.25">
      <c r="A34" s="6" t="s">
        <v>202</v>
      </c>
      <c r="B34" s="6" t="s">
        <v>97</v>
      </c>
      <c r="C34" s="6" t="str">
        <f>IF(C31="Gasoline",IF(ISBLANK(SelfDefinedGasolineEmissions),GasolineEmissions,SelfDefinedGasolineEmissions),IF(C31="Diesel",IF(ISBLANK(SelfDefinedDieselEmissions),DieselEmissions,SelfDefinedDieselEmissions),""))</f>
        <v/>
      </c>
      <c r="E34" s="6" t="s">
        <v>302</v>
      </c>
      <c r="F34" s="6" t="s">
        <v>206</v>
      </c>
      <c r="G34" s="74" t="str">
        <f>IFERROR(G31+G32-G33+G37,"")</f>
        <v/>
      </c>
    </row>
    <row r="35" spans="1:11" x14ac:dyDescent="0.25">
      <c r="A35" s="6" t="s">
        <v>194</v>
      </c>
      <c r="B35" s="6" t="s">
        <v>214</v>
      </c>
      <c r="C35" s="6" t="str">
        <f>IF(ISBLANK(SelfDefinedICEVEconomy),ICEVEconomy,SelfDefinedICEVEconomy)</f>
        <v/>
      </c>
      <c r="E35" s="6" t="s">
        <v>300</v>
      </c>
      <c r="F35" s="6" t="s">
        <v>206</v>
      </c>
      <c r="G35" s="74" t="str">
        <f>IFERROR((G34*C9)/(1-(1+C9)^(-C8)),"")</f>
        <v/>
      </c>
    </row>
    <row r="36" spans="1:11" x14ac:dyDescent="0.25">
      <c r="A36" s="6" t="s">
        <v>228</v>
      </c>
      <c r="B36" s="6" t="s">
        <v>233</v>
      </c>
      <c r="C36" s="6">
        <f>IF(AND(ISBLANK(ICEVMakeModel),ISBLANK(SelfDefinedICEVMakeModel)),0,IF(ISBLANK(SelfDefinedICEVManufacturingEmissions),ICEVManufacturingEmissions,SelfDefinedICEVManufacturingEmissions))</f>
        <v>0</v>
      </c>
      <c r="E36" s="6" t="s">
        <v>291</v>
      </c>
      <c r="F36" s="6" t="s">
        <v>206</v>
      </c>
      <c r="G36" s="74" t="str">
        <f>IFERROR(C21*(1+C7)*$C$3,"")</f>
        <v/>
      </c>
    </row>
    <row r="37" spans="1:11" x14ac:dyDescent="0.25">
      <c r="A37" s="47" t="s">
        <v>220</v>
      </c>
      <c r="E37" s="6" t="s">
        <v>405</v>
      </c>
      <c r="F37" s="6" t="s">
        <v>206</v>
      </c>
      <c r="G37" s="74">
        <f>IFERROR(-C6*$C$3,"")</f>
        <v>0</v>
      </c>
    </row>
    <row r="38" spans="1:11" x14ac:dyDescent="0.25">
      <c r="A38" s="6" t="str">
        <f>"All-in Cost Comparison, "&amp;C5&amp;" years"</f>
        <v>All-in Cost Comparison, 12 years</v>
      </c>
      <c r="E38" s="6" t="s">
        <v>259</v>
      </c>
      <c r="F38" s="6" t="s">
        <v>222</v>
      </c>
      <c r="G38" s="73">
        <f>IFERROR(SUM(H38:K38),"")</f>
        <v>0</v>
      </c>
      <c r="H38" s="73" t="str">
        <f>IFERROR(H27*$C$22*$C$3,"")</f>
        <v/>
      </c>
      <c r="I38" s="73" t="str">
        <f>IFERROR(I27*$C$22*$C$3,"")</f>
        <v/>
      </c>
      <c r="J38" s="73" t="str">
        <f>IFERROR(J27*$C$22*$C$3,"")</f>
        <v/>
      </c>
      <c r="K38" s="73" t="str">
        <f>IFERROR(K27*$C$22*$C$3,"")</f>
        <v/>
      </c>
    </row>
    <row r="39" spans="1:11" x14ac:dyDescent="0.25">
      <c r="A39" s="6" t="str">
        <f>"Loan Schedule Comparison ("&amp;C8&amp;" year, "&amp;C9*100&amp;"% interest with a "&amp;C10*100&amp;"% down-payment)"</f>
        <v>Loan Schedule Comparison (4 year, 5% interest with a 10% down-payment)</v>
      </c>
      <c r="E39" s="6" t="s">
        <v>262</v>
      </c>
      <c r="F39" s="6" t="s">
        <v>222</v>
      </c>
      <c r="G39" s="74" t="str">
        <f>IFERROR(C22*$C$3*G28,"")</f>
        <v/>
      </c>
      <c r="H39" s="73" t="str">
        <f>IFERROR(MIN(H38,$G$39/4),"")</f>
        <v/>
      </c>
      <c r="I39" s="73" t="str">
        <f>IFERROR(MIN(I38,$G$39/4),"")</f>
        <v/>
      </c>
      <c r="J39" s="73" t="str">
        <f>IFERROR(MIN(J38,$G$39/4),"")</f>
        <v/>
      </c>
      <c r="K39" s="73" t="str">
        <f>IFERROR(MIN(K38,$G$39/4),"")</f>
        <v/>
      </c>
    </row>
    <row r="40" spans="1:11" x14ac:dyDescent="0.25">
      <c r="A40" s="6" t="str">
        <f>"Lifecycle Emissions Comparison, "&amp;C5&amp;" years"</f>
        <v>Lifecycle Emissions Comparison, 12 years</v>
      </c>
      <c r="E40" s="6" t="s">
        <v>263</v>
      </c>
      <c r="F40" s="6" t="s">
        <v>222</v>
      </c>
      <c r="G40" s="73" t="str">
        <f>IFERROR(G38-G39,"")</f>
        <v/>
      </c>
      <c r="H40" s="73" t="str">
        <f>IFERROR(H38-H39,"")</f>
        <v/>
      </c>
      <c r="I40" s="73" t="str">
        <f>IFERROR(I38-I39,"")</f>
        <v/>
      </c>
      <c r="J40" s="73" t="str">
        <f>IFERROR(J38-J39,"")</f>
        <v/>
      </c>
      <c r="K40" s="73" t="str">
        <f>IFERROR(K38-K39,"")</f>
        <v/>
      </c>
    </row>
    <row r="41" spans="1:11" x14ac:dyDescent="0.25">
      <c r="A41" s="6" t="str">
        <f>IF(NOT(ISTEXT(C19)),"EV",C19)&amp; " Seasonal Performance"&amp;CHAR(10)&amp;"("&amp;ROUND(C17/12,0)&amp;" km per month)"</f>
        <v>EV Seasonal Performance
(1667 km per month)</v>
      </c>
      <c r="E41" s="6" t="s">
        <v>223</v>
      </c>
      <c r="F41" s="6" t="s">
        <v>222</v>
      </c>
      <c r="G41" s="6">
        <f>IFERROR(C23*C17/100*$C$3,"")</f>
        <v>0</v>
      </c>
    </row>
    <row r="42" spans="1:11" x14ac:dyDescent="0.25">
      <c r="A42" s="6" t="str">
        <f>"Energy Efficiency Comparison"&amp;CHAR(10)&amp;"(1 L of "&amp;C31&amp;" contains "&amp;IFERROR(ROUND(VLOOKUP(C31,EnergyInFuel,2,FALSE),1),"8 - 10")&amp;" kWh of energy)"</f>
        <v>Energy Efficiency Comparison
(1 L of Fuel contains 8 - 10 kWh of energy)</v>
      </c>
      <c r="E42" s="6" t="s">
        <v>226</v>
      </c>
      <c r="F42" s="6" t="s">
        <v>222</v>
      </c>
      <c r="G42" s="74" t="str">
        <f>IFERROR(G49/C5,"")</f>
        <v/>
      </c>
    </row>
    <row r="43" spans="1:11" x14ac:dyDescent="0.25">
      <c r="A43" s="47" t="s">
        <v>406</v>
      </c>
      <c r="E43" s="6" t="s">
        <v>258</v>
      </c>
      <c r="F43" s="6" t="s">
        <v>206</v>
      </c>
      <c r="G43" s="74" t="str">
        <f>IFERROR(G33+G35*C8,"")</f>
        <v/>
      </c>
    </row>
    <row r="44" spans="1:11" x14ac:dyDescent="0.25">
      <c r="A44" s="6" t="str">
        <f>"Cost ("&amp;C4&amp;")"</f>
        <v>Cost ($)</v>
      </c>
      <c r="E44" s="6" t="s">
        <v>301</v>
      </c>
      <c r="F44" s="6" t="s">
        <v>206</v>
      </c>
      <c r="G44" s="74" t="str">
        <f>IFERROR(G43-G31-G32-G37,"")</f>
        <v/>
      </c>
    </row>
    <row r="45" spans="1:11" x14ac:dyDescent="0.25">
      <c r="E45" s="6" t="s">
        <v>253</v>
      </c>
      <c r="F45" s="6" t="str">
        <f>"$/"&amp;$C$5&amp;"yrs"</f>
        <v>$/12yrs</v>
      </c>
      <c r="G45" s="74">
        <f>IFERROR(G38*$C$5,"")</f>
        <v>0</v>
      </c>
    </row>
    <row r="46" spans="1:11" x14ac:dyDescent="0.25">
      <c r="E46" s="6" t="s">
        <v>254</v>
      </c>
      <c r="F46" s="6" t="str">
        <f>"$/"&amp;$C$5&amp;"yrs"</f>
        <v>$/12yrs</v>
      </c>
      <c r="G46" s="74" t="str">
        <f>IFERROR(G39*$C$5,"")</f>
        <v/>
      </c>
    </row>
    <row r="47" spans="1:11" x14ac:dyDescent="0.25">
      <c r="E47" s="6" t="s">
        <v>255</v>
      </c>
      <c r="F47" s="6" t="str">
        <f>"$/"&amp;$C$5&amp;"yrs"</f>
        <v>$/12yrs</v>
      </c>
      <c r="G47" s="74" t="str">
        <f>IFERROR(G40*$C$5,"")</f>
        <v/>
      </c>
    </row>
    <row r="48" spans="1:11" x14ac:dyDescent="0.25">
      <c r="E48" s="6" t="s">
        <v>251</v>
      </c>
      <c r="F48" s="6" t="str">
        <f>"$/"&amp;$C$5&amp;"yrs"</f>
        <v>$/12yrs</v>
      </c>
      <c r="G48" s="74">
        <f>IFERROR(G41*$C$5,"")</f>
        <v>0</v>
      </c>
    </row>
    <row r="49" spans="5:7" x14ac:dyDescent="0.25">
      <c r="E49" s="6" t="s">
        <v>225</v>
      </c>
      <c r="F49" s="6" t="str">
        <f>"$/"&amp;$C$5&amp;"yrs"</f>
        <v>$/12yrs</v>
      </c>
      <c r="G49" s="74" t="str">
        <f>IFERROR(G43+G36+SUM(G46:G48),"")</f>
        <v/>
      </c>
    </row>
    <row r="50" spans="5:7" x14ac:dyDescent="0.25">
      <c r="E50" s="49" t="s">
        <v>227</v>
      </c>
    </row>
    <row r="51" spans="5:7" x14ac:dyDescent="0.25">
      <c r="E51" s="6" t="s">
        <v>235</v>
      </c>
      <c r="F51" s="6" t="s">
        <v>233</v>
      </c>
      <c r="G51" s="74">
        <f>C27</f>
        <v>0</v>
      </c>
    </row>
    <row r="52" spans="5:7" x14ac:dyDescent="0.25">
      <c r="E52" s="6" t="s">
        <v>236</v>
      </c>
      <c r="F52" s="6" t="s">
        <v>237</v>
      </c>
      <c r="G52" s="74" t="str">
        <f>IFERROR(G27*C24,"")</f>
        <v/>
      </c>
    </row>
    <row r="53" spans="5:7" x14ac:dyDescent="0.25">
      <c r="E53" s="6" t="s">
        <v>245</v>
      </c>
      <c r="F53" s="6" t="s">
        <v>237</v>
      </c>
      <c r="G53" s="74" t="str">
        <f>IFERROR(C24*G28,"")</f>
        <v/>
      </c>
    </row>
    <row r="54" spans="5:7" x14ac:dyDescent="0.25">
      <c r="E54" s="6" t="s">
        <v>246</v>
      </c>
      <c r="F54" s="6" t="s">
        <v>237</v>
      </c>
      <c r="G54" s="74" t="str">
        <f>IFERROR(G52-G53,"")</f>
        <v/>
      </c>
    </row>
    <row r="55" spans="5:7" x14ac:dyDescent="0.25">
      <c r="E55" s="6" t="s">
        <v>239</v>
      </c>
      <c r="F55" s="6" t="s">
        <v>237</v>
      </c>
      <c r="G55" s="74" t="str">
        <f>IFERROR(G59/C5,"")</f>
        <v/>
      </c>
    </row>
    <row r="56" spans="5:7" x14ac:dyDescent="0.25">
      <c r="E56" s="6" t="s">
        <v>252</v>
      </c>
      <c r="F56" s="6" t="str">
        <f>"kgCO2e/"&amp;$C$5&amp;"yrs"</f>
        <v>kgCO2e/12yrs</v>
      </c>
      <c r="G56" s="74" t="str">
        <f>IFERROR(G52*$C$5,"")</f>
        <v/>
      </c>
    </row>
    <row r="57" spans="5:7" x14ac:dyDescent="0.25">
      <c r="E57" s="6" t="s">
        <v>256</v>
      </c>
      <c r="F57" s="6" t="str">
        <f>"kgCO2e/"&amp;$C$5&amp;"yrs"</f>
        <v>kgCO2e/12yrs</v>
      </c>
      <c r="G57" s="74" t="str">
        <f>IFERROR(G53*$C$5,"")</f>
        <v/>
      </c>
    </row>
    <row r="58" spans="5:7" x14ac:dyDescent="0.25">
      <c r="E58" s="6" t="s">
        <v>257</v>
      </c>
      <c r="F58" s="6" t="str">
        <f>"kgCO2e/"&amp;$C$5&amp;"yrs"</f>
        <v>kgCO2e/12yrs</v>
      </c>
      <c r="G58" s="74" t="str">
        <f>IFERROR(G54*$C$5,"")</f>
        <v/>
      </c>
    </row>
    <row r="59" spans="5:7" x14ac:dyDescent="0.25">
      <c r="E59" s="6" t="s">
        <v>238</v>
      </c>
      <c r="F59" s="6" t="str">
        <f>"kgCO2e/"&amp;$C$5&amp;"yrs"</f>
        <v>kgCO2e/12yrs</v>
      </c>
      <c r="G59" s="74" t="str">
        <f>IFERROR(G51+G56,"")</f>
        <v/>
      </c>
    </row>
    <row r="60" spans="5:7" x14ac:dyDescent="0.25">
      <c r="E60" s="49" t="s">
        <v>424</v>
      </c>
    </row>
    <row r="61" spans="5:7" x14ac:dyDescent="0.25">
      <c r="E61" s="6" t="s">
        <v>267</v>
      </c>
      <c r="F61" s="104" t="str">
        <f>C25</f>
        <v/>
      </c>
    </row>
    <row r="62" spans="5:7" x14ac:dyDescent="0.25">
      <c r="E62" s="6" t="s">
        <v>263</v>
      </c>
      <c r="F62" s="104" t="e">
        <f>F61*(1/G26-1)</f>
        <v>#VALUE!</v>
      </c>
    </row>
    <row r="63" spans="5:7" x14ac:dyDescent="0.25">
      <c r="E63" s="6" t="s">
        <v>429</v>
      </c>
      <c r="F63" s="104" t="e">
        <f>F61*(1/C26-1)</f>
        <v>#VALUE!</v>
      </c>
    </row>
    <row r="64" spans="5:7" x14ac:dyDescent="0.25">
      <c r="E64" s="47" t="s">
        <v>264</v>
      </c>
    </row>
    <row r="65" spans="5:6" x14ac:dyDescent="0.25">
      <c r="E65" s="6" t="s">
        <v>192</v>
      </c>
      <c r="F65" s="77" t="str">
        <f>G15</f>
        <v/>
      </c>
    </row>
    <row r="66" spans="5:6" x14ac:dyDescent="0.25">
      <c r="E66" s="6" t="s">
        <v>191</v>
      </c>
      <c r="F66" s="77" t="str">
        <f>G49</f>
        <v/>
      </c>
    </row>
    <row r="67" spans="5:6" x14ac:dyDescent="0.25">
      <c r="E67" s="6" t="s">
        <v>265</v>
      </c>
      <c r="F67" s="74">
        <f>G21</f>
        <v>0</v>
      </c>
    </row>
    <row r="68" spans="5:6" x14ac:dyDescent="0.25">
      <c r="E68" s="6" t="s">
        <v>266</v>
      </c>
      <c r="F68" s="74" t="str">
        <f>G59</f>
        <v/>
      </c>
    </row>
    <row r="69" spans="5:6" x14ac:dyDescent="0.25">
      <c r="E69" s="6" t="s">
        <v>427</v>
      </c>
      <c r="F69" s="73" t="e">
        <f>G23</f>
        <v>#VALUE!</v>
      </c>
    </row>
    <row r="70" spans="5:6" x14ac:dyDescent="0.25">
      <c r="E70" s="6" t="s">
        <v>428</v>
      </c>
      <c r="F70" s="73" t="e">
        <f>SUM(F61:F63)</f>
        <v>#VALUE!</v>
      </c>
    </row>
  </sheetData>
  <sheetProtection password="E5E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13"/>
  <sheetViews>
    <sheetView topLeftCell="S1" workbookViewId="0">
      <selection activeCell="S1" sqref="S1"/>
    </sheetView>
  </sheetViews>
  <sheetFormatPr defaultRowHeight="15" x14ac:dyDescent="0.25"/>
  <cols>
    <col min="1" max="1" width="26.7109375" hidden="1" customWidth="1"/>
    <col min="2" max="2" width="38" hidden="1" customWidth="1"/>
    <col min="3" max="3" width="33" hidden="1" customWidth="1"/>
    <col min="4" max="4" width="30.140625" hidden="1" customWidth="1"/>
    <col min="5" max="6" width="26.28515625" hidden="1" customWidth="1"/>
    <col min="7" max="7" width="27.140625" hidden="1" customWidth="1"/>
    <col min="8" max="8" width="26.5703125" hidden="1" customWidth="1"/>
    <col min="9" max="9" width="28.42578125" hidden="1" customWidth="1"/>
    <col min="10" max="10" width="26.85546875" hidden="1" customWidth="1"/>
    <col min="11" max="12" width="23" hidden="1" customWidth="1"/>
    <col min="13" max="13" width="27.28515625" hidden="1" customWidth="1"/>
    <col min="14" max="15" width="26.7109375" hidden="1" customWidth="1"/>
    <col min="16" max="16" width="24.5703125" hidden="1" customWidth="1"/>
    <col min="17" max="17" width="9.140625" hidden="1" customWidth="1"/>
    <col min="18" max="18" width="16.85546875" hidden="1" customWidth="1"/>
  </cols>
  <sheetData>
    <row r="1" spans="1:18" x14ac:dyDescent="0.25">
      <c r="A1" s="1" t="s">
        <v>101</v>
      </c>
      <c r="B1" s="1" t="s">
        <v>122</v>
      </c>
      <c r="C1" s="1" t="s">
        <v>128</v>
      </c>
      <c r="D1" s="3" t="s">
        <v>129</v>
      </c>
      <c r="G1" s="3" t="s">
        <v>131</v>
      </c>
      <c r="H1" s="3" t="s">
        <v>139</v>
      </c>
      <c r="I1" s="1" t="s">
        <v>122</v>
      </c>
      <c r="J1" s="1" t="s">
        <v>132</v>
      </c>
      <c r="K1" s="3" t="s">
        <v>133</v>
      </c>
      <c r="M1" s="1" t="s">
        <v>179</v>
      </c>
      <c r="N1" s="1" t="s">
        <v>180</v>
      </c>
      <c r="P1" s="3" t="s">
        <v>278</v>
      </c>
      <c r="Q1" s="3" t="s">
        <v>283</v>
      </c>
      <c r="R1" s="3" t="s">
        <v>289</v>
      </c>
    </row>
    <row r="2" spans="1:18" x14ac:dyDescent="0.25">
      <c r="A2" s="31" t="s">
        <v>121</v>
      </c>
      <c r="B2" s="32">
        <v>85600</v>
      </c>
      <c r="C2" s="33">
        <v>26.700000000000003</v>
      </c>
      <c r="D2" s="33">
        <v>26.700000000000003</v>
      </c>
      <c r="G2" t="s">
        <v>134</v>
      </c>
      <c r="H2" t="s">
        <v>140</v>
      </c>
      <c r="I2" s="37">
        <v>43300</v>
      </c>
      <c r="J2" s="29">
        <v>8.3000000000000007</v>
      </c>
      <c r="K2" s="29">
        <v>10.1</v>
      </c>
      <c r="M2">
        <v>-20</v>
      </c>
      <c r="N2">
        <v>0.5</v>
      </c>
      <c r="P2" t="s">
        <v>279</v>
      </c>
      <c r="Q2">
        <v>2500</v>
      </c>
      <c r="R2" s="93" t="b">
        <v>0</v>
      </c>
    </row>
    <row r="3" spans="1:18" x14ac:dyDescent="0.25">
      <c r="A3" s="31" t="s">
        <v>109</v>
      </c>
      <c r="B3" s="32">
        <v>44950</v>
      </c>
      <c r="C3" s="33">
        <v>20.47</v>
      </c>
      <c r="D3" s="33">
        <v>16.91</v>
      </c>
      <c r="G3" t="s">
        <v>135</v>
      </c>
      <c r="H3" t="s">
        <v>140</v>
      </c>
      <c r="I3" s="37">
        <v>38990</v>
      </c>
      <c r="J3" s="29">
        <v>7.2</v>
      </c>
      <c r="K3" s="29">
        <v>10.199999999999999</v>
      </c>
      <c r="M3">
        <v>-10</v>
      </c>
      <c r="N3">
        <v>0.6</v>
      </c>
      <c r="P3" t="s">
        <v>285</v>
      </c>
      <c r="Q3">
        <v>1200</v>
      </c>
      <c r="R3" s="93" t="b">
        <v>0</v>
      </c>
    </row>
    <row r="4" spans="1:18" x14ac:dyDescent="0.25">
      <c r="A4" s="31" t="s">
        <v>107</v>
      </c>
      <c r="B4" s="32">
        <v>40600</v>
      </c>
      <c r="C4" s="33">
        <v>19.580000000000002</v>
      </c>
      <c r="D4" s="33">
        <v>16.91</v>
      </c>
      <c r="G4" t="s">
        <v>136</v>
      </c>
      <c r="H4" t="s">
        <v>140</v>
      </c>
      <c r="I4" s="37">
        <v>10398</v>
      </c>
      <c r="J4" s="29">
        <v>6.2</v>
      </c>
      <c r="K4" s="29">
        <v>7.7</v>
      </c>
      <c r="M4">
        <v>0</v>
      </c>
      <c r="N4">
        <v>0.78</v>
      </c>
      <c r="P4" t="s">
        <v>280</v>
      </c>
      <c r="Q4">
        <v>600</v>
      </c>
      <c r="R4" s="93" t="b">
        <v>0</v>
      </c>
    </row>
    <row r="5" spans="1:18" x14ac:dyDescent="0.25">
      <c r="A5" s="34" t="s">
        <v>130</v>
      </c>
      <c r="B5" s="35">
        <v>68000</v>
      </c>
      <c r="C5" s="33">
        <v>31</v>
      </c>
      <c r="D5" s="33">
        <v>28</v>
      </c>
      <c r="G5" t="s">
        <v>147</v>
      </c>
      <c r="H5" t="s">
        <v>140</v>
      </c>
      <c r="I5" s="37">
        <v>44500</v>
      </c>
      <c r="J5" s="29">
        <v>7.8</v>
      </c>
      <c r="K5" s="29">
        <v>12.4</v>
      </c>
      <c r="M5">
        <v>10</v>
      </c>
      <c r="N5">
        <v>1</v>
      </c>
      <c r="P5" t="s">
        <v>281</v>
      </c>
      <c r="Q5">
        <v>1500</v>
      </c>
      <c r="R5" s="93" t="b">
        <v>0</v>
      </c>
    </row>
    <row r="6" spans="1:18" x14ac:dyDescent="0.25">
      <c r="A6" s="31" t="s">
        <v>115</v>
      </c>
      <c r="B6" s="32">
        <v>50495</v>
      </c>
      <c r="C6" s="33">
        <v>22.25</v>
      </c>
      <c r="D6" s="33">
        <v>19.580000000000002</v>
      </c>
      <c r="G6" t="s">
        <v>146</v>
      </c>
      <c r="H6" t="s">
        <v>140</v>
      </c>
      <c r="I6" s="37">
        <v>36300</v>
      </c>
      <c r="J6" s="29">
        <v>7.8</v>
      </c>
      <c r="K6" s="29">
        <v>12.4</v>
      </c>
      <c r="M6">
        <v>20</v>
      </c>
      <c r="N6">
        <v>1.17</v>
      </c>
      <c r="P6" t="s">
        <v>282</v>
      </c>
      <c r="Q6">
        <v>5000</v>
      </c>
      <c r="R6" s="93" t="b">
        <v>0</v>
      </c>
    </row>
    <row r="7" spans="1:18" x14ac:dyDescent="0.25">
      <c r="A7" s="31" t="s">
        <v>127</v>
      </c>
      <c r="B7" s="32">
        <v>41599</v>
      </c>
      <c r="C7" s="33">
        <v>16.91</v>
      </c>
      <c r="D7" s="33">
        <v>14.240000000000002</v>
      </c>
      <c r="G7" t="s">
        <v>137</v>
      </c>
      <c r="H7" t="s">
        <v>140</v>
      </c>
      <c r="I7" s="37">
        <v>34000</v>
      </c>
      <c r="J7" s="29">
        <v>9.3000000000000007</v>
      </c>
      <c r="K7" s="29">
        <v>12</v>
      </c>
      <c r="M7">
        <v>30</v>
      </c>
      <c r="N7">
        <v>1.1200000000000001</v>
      </c>
    </row>
    <row r="8" spans="1:18" x14ac:dyDescent="0.25">
      <c r="A8" s="31" t="s">
        <v>120</v>
      </c>
      <c r="B8" s="32">
        <v>44999</v>
      </c>
      <c r="C8" s="33">
        <v>19.580000000000002</v>
      </c>
      <c r="D8" s="33">
        <v>16.02</v>
      </c>
      <c r="G8" t="s">
        <v>138</v>
      </c>
      <c r="H8" t="s">
        <v>140</v>
      </c>
      <c r="I8" s="37">
        <v>31900</v>
      </c>
      <c r="J8" s="29">
        <v>7.5</v>
      </c>
      <c r="K8" s="29">
        <v>11</v>
      </c>
      <c r="M8">
        <v>40</v>
      </c>
      <c r="N8">
        <v>0.8</v>
      </c>
    </row>
    <row r="9" spans="1:18" x14ac:dyDescent="0.25">
      <c r="A9" s="31" t="s">
        <v>113</v>
      </c>
      <c r="B9" s="32">
        <v>44995</v>
      </c>
      <c r="C9" s="33">
        <v>20.47</v>
      </c>
      <c r="D9" s="33">
        <v>16.91</v>
      </c>
      <c r="G9" t="s">
        <v>148</v>
      </c>
      <c r="H9" t="s">
        <v>149</v>
      </c>
      <c r="I9" s="37">
        <v>46900</v>
      </c>
      <c r="J9" s="29">
        <v>7.8</v>
      </c>
      <c r="K9" s="29">
        <v>10.199999999999999</v>
      </c>
    </row>
    <row r="10" spans="1:18" x14ac:dyDescent="0.25">
      <c r="A10" s="31" t="s">
        <v>119</v>
      </c>
      <c r="B10" s="32">
        <v>51995</v>
      </c>
      <c r="C10" s="33">
        <v>20.47</v>
      </c>
      <c r="D10" s="33">
        <v>16.02</v>
      </c>
      <c r="G10" t="s">
        <v>114</v>
      </c>
      <c r="H10" t="s">
        <v>140</v>
      </c>
      <c r="I10" s="37">
        <v>32650</v>
      </c>
      <c r="J10" s="29">
        <v>4.0999999999999996</v>
      </c>
      <c r="K10" s="29">
        <v>4.3</v>
      </c>
      <c r="M10" s="1" t="s">
        <v>409</v>
      </c>
      <c r="N10" s="1" t="s">
        <v>422</v>
      </c>
    </row>
    <row r="11" spans="1:18" x14ac:dyDescent="0.25">
      <c r="A11" s="31" t="s">
        <v>105</v>
      </c>
      <c r="B11" s="32">
        <v>39990</v>
      </c>
      <c r="C11" s="33">
        <v>20.47</v>
      </c>
      <c r="D11" s="33">
        <v>19.580000000000002</v>
      </c>
      <c r="G11" t="s">
        <v>141</v>
      </c>
      <c r="H11" t="s">
        <v>140</v>
      </c>
      <c r="I11" s="37">
        <v>21300</v>
      </c>
      <c r="J11" s="29">
        <v>7</v>
      </c>
      <c r="K11" s="29">
        <v>8.6</v>
      </c>
      <c r="M11" t="s">
        <v>140</v>
      </c>
      <c r="N11">
        <v>8.9</v>
      </c>
    </row>
    <row r="12" spans="1:18" x14ac:dyDescent="0.25">
      <c r="A12" s="31" t="s">
        <v>106</v>
      </c>
      <c r="B12" s="32">
        <v>44298</v>
      </c>
      <c r="C12" s="33">
        <v>21.36</v>
      </c>
      <c r="D12" s="33">
        <v>16.91</v>
      </c>
      <c r="G12" t="s">
        <v>112</v>
      </c>
      <c r="H12" t="s">
        <v>140</v>
      </c>
      <c r="I12" s="37">
        <v>27000</v>
      </c>
      <c r="J12" s="29">
        <v>4.4000000000000004</v>
      </c>
      <c r="K12" s="29">
        <v>4.9000000000000004</v>
      </c>
      <c r="M12" t="s">
        <v>149</v>
      </c>
      <c r="N12" s="2">
        <f>N11*1.125</f>
        <v>10.012500000000001</v>
      </c>
    </row>
    <row r="13" spans="1:18" x14ac:dyDescent="0.25">
      <c r="A13" s="31" t="s">
        <v>104</v>
      </c>
      <c r="B13" s="32">
        <v>69900</v>
      </c>
      <c r="C13" s="33">
        <v>24.03</v>
      </c>
      <c r="D13" s="33">
        <v>22.25</v>
      </c>
      <c r="G13" t="s">
        <v>142</v>
      </c>
      <c r="H13" t="s">
        <v>140</v>
      </c>
      <c r="I13" s="37">
        <v>21200</v>
      </c>
      <c r="J13" s="29">
        <v>7</v>
      </c>
      <c r="K13" s="29">
        <v>8.5</v>
      </c>
    </row>
    <row r="14" spans="1:18" x14ac:dyDescent="0.25">
      <c r="A14" s="31" t="s">
        <v>116</v>
      </c>
      <c r="B14" s="32">
        <v>120500</v>
      </c>
      <c r="C14" s="33">
        <v>27.590000000000003</v>
      </c>
      <c r="D14" s="33">
        <v>27.590000000000003</v>
      </c>
      <c r="G14" t="s">
        <v>143</v>
      </c>
      <c r="H14" t="s">
        <v>140</v>
      </c>
      <c r="I14" s="37">
        <v>23500</v>
      </c>
      <c r="J14" s="29">
        <v>6.5</v>
      </c>
      <c r="K14" s="29">
        <v>8.4</v>
      </c>
    </row>
    <row r="15" spans="1:18" x14ac:dyDescent="0.25">
      <c r="A15" s="31" t="s">
        <v>103</v>
      </c>
      <c r="B15" s="32">
        <v>52990</v>
      </c>
      <c r="C15" s="33">
        <v>16.02</v>
      </c>
      <c r="D15" s="33">
        <v>14.240000000000002</v>
      </c>
      <c r="G15" t="s">
        <v>144</v>
      </c>
      <c r="H15" t="s">
        <v>140</v>
      </c>
      <c r="I15" s="37">
        <v>18000</v>
      </c>
      <c r="J15" s="29">
        <v>5.9</v>
      </c>
      <c r="K15" s="29">
        <v>7.4</v>
      </c>
    </row>
    <row r="16" spans="1:18" x14ac:dyDescent="0.25">
      <c r="A16" s="31" t="s">
        <v>108</v>
      </c>
      <c r="B16" s="32">
        <v>114990</v>
      </c>
      <c r="C16" s="33">
        <v>18.690000000000001</v>
      </c>
      <c r="D16" s="33">
        <v>16.91</v>
      </c>
      <c r="G16" t="s">
        <v>145</v>
      </c>
      <c r="H16" t="s">
        <v>140</v>
      </c>
      <c r="I16" s="37">
        <v>68800</v>
      </c>
      <c r="J16" s="29">
        <v>8.6999999999999993</v>
      </c>
      <c r="K16" s="29">
        <v>11</v>
      </c>
    </row>
    <row r="17" spans="1:18" x14ac:dyDescent="0.25">
      <c r="A17" s="31" t="s">
        <v>110</v>
      </c>
      <c r="B17" s="32">
        <v>124990</v>
      </c>
      <c r="C17" s="33">
        <v>21.36</v>
      </c>
      <c r="D17" s="33">
        <v>19.580000000000002</v>
      </c>
      <c r="G17" t="s">
        <v>150</v>
      </c>
      <c r="H17" t="s">
        <v>149</v>
      </c>
      <c r="I17" s="37">
        <v>62700</v>
      </c>
      <c r="J17" s="29">
        <v>8</v>
      </c>
      <c r="K17" s="29">
        <v>11.1</v>
      </c>
    </row>
    <row r="18" spans="1:18" x14ac:dyDescent="0.25">
      <c r="A18" s="31" t="s">
        <v>111</v>
      </c>
      <c r="B18" s="32">
        <v>69990</v>
      </c>
      <c r="C18" s="33">
        <v>17.8</v>
      </c>
      <c r="D18" s="33">
        <v>15.13</v>
      </c>
      <c r="G18" t="s">
        <v>269</v>
      </c>
      <c r="H18" t="s">
        <v>140</v>
      </c>
      <c r="I18" s="37">
        <v>21200</v>
      </c>
      <c r="J18" s="29">
        <v>6.3</v>
      </c>
      <c r="K18" s="29">
        <v>8.1</v>
      </c>
    </row>
    <row r="19" spans="1:18" x14ac:dyDescent="0.25">
      <c r="A19" s="31" t="s">
        <v>118</v>
      </c>
      <c r="B19" s="32">
        <v>44995</v>
      </c>
      <c r="C19" s="33">
        <v>23.14</v>
      </c>
      <c r="D19" s="33">
        <v>20.47</v>
      </c>
      <c r="G19" t="s">
        <v>151</v>
      </c>
      <c r="H19" t="s">
        <v>140</v>
      </c>
      <c r="I19" s="37">
        <v>24400</v>
      </c>
      <c r="J19" s="29">
        <v>6.5</v>
      </c>
      <c r="K19" s="29">
        <v>8.1999999999999993</v>
      </c>
    </row>
    <row r="20" spans="1:18" x14ac:dyDescent="0.25">
      <c r="A20" s="31" t="s">
        <v>117</v>
      </c>
      <c r="B20" s="32">
        <v>64950</v>
      </c>
      <c r="C20" s="33">
        <v>29.37</v>
      </c>
      <c r="D20" s="33">
        <v>24.919999999999998</v>
      </c>
      <c r="G20" t="s">
        <v>152</v>
      </c>
      <c r="H20" t="s">
        <v>140</v>
      </c>
      <c r="I20" s="37">
        <v>45300</v>
      </c>
      <c r="J20" s="29">
        <v>6.8</v>
      </c>
      <c r="K20" s="29">
        <v>10</v>
      </c>
    </row>
    <row r="21" spans="1:18" x14ac:dyDescent="0.25">
      <c r="A21" s="30"/>
      <c r="B21" s="30"/>
      <c r="C21" s="36"/>
      <c r="D21" s="54"/>
      <c r="E21" s="36"/>
      <c r="F21" s="36"/>
    </row>
    <row r="23" spans="1:18" x14ac:dyDescent="0.25">
      <c r="A23" s="1" t="s">
        <v>167</v>
      </c>
      <c r="B23" s="1" t="s">
        <v>0</v>
      </c>
      <c r="C23" s="1" t="s">
        <v>68</v>
      </c>
      <c r="D23" s="1" t="s">
        <v>88</v>
      </c>
      <c r="E23" s="1" t="s">
        <v>89</v>
      </c>
      <c r="F23" s="1" t="s">
        <v>430</v>
      </c>
      <c r="G23" s="3" t="s">
        <v>168</v>
      </c>
      <c r="H23" s="3" t="s">
        <v>169</v>
      </c>
      <c r="I23" s="3" t="s">
        <v>170</v>
      </c>
      <c r="J23" s="3" t="s">
        <v>171</v>
      </c>
      <c r="L23" s="1" t="s">
        <v>64</v>
      </c>
      <c r="M23" s="3" t="s">
        <v>161</v>
      </c>
      <c r="N23" s="3" t="s">
        <v>311</v>
      </c>
      <c r="O23" s="1" t="s">
        <v>66</v>
      </c>
      <c r="P23" s="3" t="s">
        <v>67</v>
      </c>
      <c r="R23" s="3" t="s">
        <v>313</v>
      </c>
    </row>
    <row r="24" spans="1:18" x14ac:dyDescent="0.25">
      <c r="A24" t="s">
        <v>1</v>
      </c>
      <c r="B24" s="2">
        <v>0.64</v>
      </c>
      <c r="C24" s="2">
        <v>0.16600000000000001</v>
      </c>
      <c r="D24" s="23">
        <v>1.2632083333333335</v>
      </c>
      <c r="E24" s="23">
        <v>1.2307083333333333</v>
      </c>
      <c r="F24" s="23">
        <v>0.05</v>
      </c>
      <c r="G24">
        <v>-7.8</v>
      </c>
      <c r="H24">
        <v>4.8</v>
      </c>
      <c r="I24">
        <v>16.7</v>
      </c>
      <c r="J24">
        <v>4.0999999999999996</v>
      </c>
      <c r="L24" t="s">
        <v>66</v>
      </c>
      <c r="M24">
        <v>1</v>
      </c>
      <c r="N24" t="s">
        <v>206</v>
      </c>
      <c r="O24" t="s">
        <v>1</v>
      </c>
      <c r="P24" t="s">
        <v>14</v>
      </c>
      <c r="R24" s="29" t="s">
        <v>206</v>
      </c>
    </row>
    <row r="25" spans="1:18" x14ac:dyDescent="0.25">
      <c r="A25" t="s">
        <v>2</v>
      </c>
      <c r="B25" s="2">
        <v>7.7999999999999996E-3</v>
      </c>
      <c r="C25" s="2">
        <v>0.126</v>
      </c>
      <c r="D25" s="23">
        <v>1.5395416666666661</v>
      </c>
      <c r="E25" s="23">
        <v>1.4332083333333336</v>
      </c>
      <c r="F25" s="23">
        <v>0.12</v>
      </c>
      <c r="G25">
        <v>3.8</v>
      </c>
      <c r="H25">
        <v>8.6</v>
      </c>
      <c r="I25">
        <v>16.5</v>
      </c>
      <c r="J25">
        <v>9.6</v>
      </c>
      <c r="L25" t="s">
        <v>67</v>
      </c>
      <c r="M25">
        <v>0.79779999999999995</v>
      </c>
      <c r="N25" t="s">
        <v>206</v>
      </c>
      <c r="O25" t="s">
        <v>2</v>
      </c>
      <c r="P25" t="s">
        <v>15</v>
      </c>
      <c r="R25" s="29" t="s">
        <v>314</v>
      </c>
    </row>
    <row r="26" spans="1:18" x14ac:dyDescent="0.25">
      <c r="A26" t="s">
        <v>3</v>
      </c>
      <c r="B26" s="2">
        <v>1.1999999999999999E-3</v>
      </c>
      <c r="C26" s="2">
        <v>9.9000000000000005E-2</v>
      </c>
      <c r="D26" s="23">
        <v>1.2594166666666669</v>
      </c>
      <c r="E26" s="23">
        <v>1.2691666666666668</v>
      </c>
      <c r="F26" s="23">
        <v>0.11</v>
      </c>
      <c r="G26">
        <v>-11.5</v>
      </c>
      <c r="H26">
        <v>3.4</v>
      </c>
      <c r="I26">
        <v>18.5</v>
      </c>
      <c r="J26">
        <v>4.3</v>
      </c>
      <c r="O26" t="s">
        <v>3</v>
      </c>
      <c r="P26" t="s">
        <v>16</v>
      </c>
      <c r="R26" s="29" t="s">
        <v>315</v>
      </c>
    </row>
    <row r="27" spans="1:18" x14ac:dyDescent="0.25">
      <c r="A27" t="s">
        <v>4</v>
      </c>
      <c r="B27" s="2">
        <v>0.3</v>
      </c>
      <c r="C27" s="2">
        <v>0.127</v>
      </c>
      <c r="D27" s="23">
        <v>1.3039166666666666</v>
      </c>
      <c r="E27" s="23">
        <v>1.3148333333333333</v>
      </c>
      <c r="F27" s="23">
        <v>0.15</v>
      </c>
      <c r="G27">
        <v>-4.3</v>
      </c>
      <c r="H27">
        <v>4.5999999999999996</v>
      </c>
      <c r="I27">
        <v>18.100000000000001</v>
      </c>
      <c r="J27">
        <v>7.9</v>
      </c>
      <c r="O27" t="s">
        <v>4</v>
      </c>
      <c r="P27" t="s">
        <v>17</v>
      </c>
      <c r="R27" s="29" t="s">
        <v>316</v>
      </c>
    </row>
    <row r="28" spans="1:18" x14ac:dyDescent="0.25">
      <c r="A28" t="s">
        <v>5</v>
      </c>
      <c r="B28" s="2">
        <v>2.5000000000000001E-2</v>
      </c>
      <c r="C28" s="2">
        <v>0.13800000000000001</v>
      </c>
      <c r="D28" s="23">
        <v>1.4641666666666666</v>
      </c>
      <c r="E28" s="23">
        <v>1.4573333333333331</v>
      </c>
      <c r="F28" s="23">
        <v>0.15</v>
      </c>
      <c r="G28">
        <v>-1.2</v>
      </c>
      <c r="H28">
        <v>2.2999999999999998</v>
      </c>
      <c r="I28">
        <v>14.1</v>
      </c>
      <c r="J28">
        <v>7.5</v>
      </c>
      <c r="O28" t="s">
        <v>5</v>
      </c>
      <c r="P28" t="s">
        <v>18</v>
      </c>
      <c r="R28" s="29" t="s">
        <v>317</v>
      </c>
    </row>
    <row r="29" spans="1:18" x14ac:dyDescent="0.25">
      <c r="A29" t="s">
        <v>11</v>
      </c>
      <c r="B29" s="2">
        <v>0.18</v>
      </c>
      <c r="C29" s="2">
        <v>0.17100000000000001</v>
      </c>
      <c r="D29" s="23">
        <v>1.415</v>
      </c>
      <c r="E29" s="23">
        <v>1.3954999999999997</v>
      </c>
      <c r="F29" s="23">
        <v>0.05</v>
      </c>
      <c r="G29">
        <v>-20.399999999999999</v>
      </c>
      <c r="H29">
        <v>-5.8</v>
      </c>
      <c r="I29">
        <v>14.8</v>
      </c>
      <c r="J29">
        <v>-2.7</v>
      </c>
      <c r="O29" t="s">
        <v>11</v>
      </c>
      <c r="P29" t="s">
        <v>19</v>
      </c>
      <c r="R29" s="29" t="s">
        <v>318</v>
      </c>
    </row>
    <row r="30" spans="1:18" x14ac:dyDescent="0.25">
      <c r="A30" t="s">
        <v>6</v>
      </c>
      <c r="B30" s="2">
        <v>0.68</v>
      </c>
      <c r="C30" s="2">
        <v>0.38200000000000001</v>
      </c>
      <c r="D30" s="23">
        <v>1.2902500000000001</v>
      </c>
      <c r="E30" s="23">
        <v>1.2296666666666665</v>
      </c>
      <c r="F30" s="23">
        <v>0.15</v>
      </c>
      <c r="G30">
        <v>0</v>
      </c>
      <c r="H30">
        <v>4.9000000000000004</v>
      </c>
      <c r="I30">
        <v>17.7</v>
      </c>
      <c r="J30">
        <v>10.1</v>
      </c>
      <c r="O30" t="s">
        <v>6</v>
      </c>
      <c r="P30" t="s">
        <v>20</v>
      </c>
      <c r="R30" s="29" t="s">
        <v>319</v>
      </c>
    </row>
    <row r="31" spans="1:18" x14ac:dyDescent="0.25">
      <c r="A31" t="s">
        <v>12</v>
      </c>
      <c r="B31" s="2">
        <v>0.8</v>
      </c>
      <c r="C31" s="2">
        <v>0.375</v>
      </c>
      <c r="D31" s="24" t="s">
        <v>87</v>
      </c>
      <c r="E31" s="24" t="s">
        <v>87</v>
      </c>
      <c r="F31" s="24">
        <v>0.05</v>
      </c>
      <c r="G31">
        <v>-20.100000000000001</v>
      </c>
      <c r="H31">
        <v>-13.9</v>
      </c>
      <c r="I31">
        <v>6.3</v>
      </c>
      <c r="J31">
        <v>-4.4000000000000004</v>
      </c>
      <c r="O31" t="s">
        <v>12</v>
      </c>
      <c r="P31" t="s">
        <v>21</v>
      </c>
      <c r="R31" s="29" t="s">
        <v>320</v>
      </c>
    </row>
    <row r="32" spans="1:18" x14ac:dyDescent="0.25">
      <c r="A32" t="s">
        <v>7</v>
      </c>
      <c r="B32" s="2">
        <v>2.8000000000000001E-2</v>
      </c>
      <c r="C32" s="2">
        <v>0.13</v>
      </c>
      <c r="D32" s="23">
        <v>1.3430555555555554</v>
      </c>
      <c r="E32" s="23">
        <v>1.2639166666666666</v>
      </c>
      <c r="F32" s="23">
        <v>0.13</v>
      </c>
      <c r="G32">
        <v>0.2</v>
      </c>
      <c r="H32">
        <v>7.8</v>
      </c>
      <c r="I32">
        <v>21.1</v>
      </c>
      <c r="J32">
        <v>10.9</v>
      </c>
      <c r="O32" t="s">
        <v>7</v>
      </c>
      <c r="P32" t="s">
        <v>22</v>
      </c>
      <c r="R32" s="29" t="s">
        <v>321</v>
      </c>
    </row>
    <row r="33" spans="1:18" x14ac:dyDescent="0.25">
      <c r="A33" t="s">
        <v>8</v>
      </c>
      <c r="B33" s="2">
        <v>5.0000000000000001E-4</v>
      </c>
      <c r="C33" s="2">
        <v>0.17399999999999999</v>
      </c>
      <c r="D33" s="23">
        <v>1.3080833333333333</v>
      </c>
      <c r="E33" s="23">
        <v>1.3340833333333333</v>
      </c>
      <c r="F33" s="23">
        <v>0.15</v>
      </c>
      <c r="G33">
        <v>-2.7</v>
      </c>
      <c r="H33">
        <v>3.1</v>
      </c>
      <c r="I33">
        <v>17.2</v>
      </c>
      <c r="J33">
        <v>8.4</v>
      </c>
      <c r="O33" t="s">
        <v>8</v>
      </c>
      <c r="P33" t="s">
        <v>23</v>
      </c>
      <c r="R33" s="29" t="s">
        <v>322</v>
      </c>
    </row>
    <row r="34" spans="1:18" x14ac:dyDescent="0.25">
      <c r="A34" t="s">
        <v>9</v>
      </c>
      <c r="B34" s="2">
        <v>1.9E-3</v>
      </c>
      <c r="C34" s="2">
        <v>7.2999999999999995E-2</v>
      </c>
      <c r="D34" s="23">
        <v>1.3465833333333337</v>
      </c>
      <c r="E34" s="23">
        <v>1.275277777777778</v>
      </c>
      <c r="F34" s="23">
        <v>0.14974999999999999</v>
      </c>
      <c r="G34">
        <v>-7.4</v>
      </c>
      <c r="H34">
        <v>3.4</v>
      </c>
      <c r="I34">
        <v>17.899999999999999</v>
      </c>
      <c r="J34">
        <v>6.2</v>
      </c>
      <c r="O34" t="s">
        <v>9</v>
      </c>
      <c r="P34" t="s">
        <v>24</v>
      </c>
      <c r="R34" s="29" t="s">
        <v>323</v>
      </c>
    </row>
    <row r="35" spans="1:18" x14ac:dyDescent="0.25">
      <c r="A35" t="s">
        <v>10</v>
      </c>
      <c r="B35" s="2">
        <v>0.62</v>
      </c>
      <c r="C35" s="2">
        <v>0.18099999999999999</v>
      </c>
      <c r="D35" s="23">
        <v>1.2702499999999999</v>
      </c>
      <c r="E35" s="23">
        <v>1.250958333333333</v>
      </c>
      <c r="F35" s="23">
        <v>0.11</v>
      </c>
      <c r="G35">
        <v>-10.8</v>
      </c>
      <c r="H35">
        <v>3.8</v>
      </c>
      <c r="I35">
        <v>17.7</v>
      </c>
      <c r="J35">
        <v>3.6</v>
      </c>
      <c r="O35" t="s">
        <v>10</v>
      </c>
      <c r="P35" t="s">
        <v>25</v>
      </c>
      <c r="R35" s="29" t="s">
        <v>324</v>
      </c>
    </row>
    <row r="36" spans="1:18" x14ac:dyDescent="0.25">
      <c r="A36" t="s">
        <v>13</v>
      </c>
      <c r="B36" s="2">
        <v>0.11</v>
      </c>
      <c r="C36" s="2">
        <v>0.187</v>
      </c>
      <c r="D36" s="23">
        <v>1.4477500000000001</v>
      </c>
      <c r="E36" s="23">
        <v>1.4350833333333335</v>
      </c>
      <c r="F36" s="23">
        <v>0.05</v>
      </c>
      <c r="G36">
        <v>-12.4</v>
      </c>
      <c r="H36">
        <v>0.7</v>
      </c>
      <c r="I36">
        <v>13.1</v>
      </c>
      <c r="J36">
        <v>-0.6</v>
      </c>
      <c r="O36" t="s">
        <v>13</v>
      </c>
      <c r="P36" t="s">
        <v>26</v>
      </c>
      <c r="R36" s="29" t="s">
        <v>325</v>
      </c>
    </row>
    <row r="37" spans="1:18" x14ac:dyDescent="0.25">
      <c r="A37" t="s">
        <v>14</v>
      </c>
      <c r="B37" s="2">
        <v>0.39106956218789918</v>
      </c>
      <c r="C37" s="2">
        <v>9.8400000000000001E-2</v>
      </c>
      <c r="D37" s="25">
        <v>0.71617585169617848</v>
      </c>
      <c r="E37" s="25">
        <v>0.80308341764828639</v>
      </c>
      <c r="F37" s="25">
        <v>0.04</v>
      </c>
      <c r="G37">
        <v>10.3</v>
      </c>
      <c r="H37">
        <v>18.3</v>
      </c>
      <c r="I37">
        <v>27</v>
      </c>
      <c r="J37">
        <v>18.899999999999999</v>
      </c>
      <c r="P37" t="s">
        <v>27</v>
      </c>
      <c r="R37" s="29" t="s">
        <v>326</v>
      </c>
    </row>
    <row r="38" spans="1:18" x14ac:dyDescent="0.25">
      <c r="A38" t="s">
        <v>15</v>
      </c>
      <c r="B38" s="2">
        <v>0.47275922671353249</v>
      </c>
      <c r="C38" s="2">
        <v>0.19820000000000002</v>
      </c>
      <c r="D38" s="25">
        <v>0.89904396089195082</v>
      </c>
      <c r="E38" s="25">
        <v>1.0181195696106895</v>
      </c>
      <c r="F38" s="25">
        <v>0</v>
      </c>
      <c r="G38">
        <v>-0.7</v>
      </c>
      <c r="H38">
        <v>5.0999999999999996</v>
      </c>
      <c r="I38">
        <v>13.2</v>
      </c>
      <c r="J38">
        <v>5.5</v>
      </c>
      <c r="P38" t="s">
        <v>28</v>
      </c>
      <c r="R38" s="29" t="s">
        <v>327</v>
      </c>
    </row>
    <row r="39" spans="1:18" x14ac:dyDescent="0.25">
      <c r="A39" t="s">
        <v>16</v>
      </c>
      <c r="B39" s="2">
        <v>0.41279023624546951</v>
      </c>
      <c r="C39" s="2">
        <v>0.10439999999999999</v>
      </c>
      <c r="D39" s="25">
        <v>0.89904396089195082</v>
      </c>
      <c r="E39" s="25">
        <v>1.0181195696106895</v>
      </c>
      <c r="F39" s="25">
        <v>5.6000000000000001E-2</v>
      </c>
      <c r="G39">
        <v>14.9</v>
      </c>
      <c r="H39">
        <v>22.9</v>
      </c>
      <c r="I39">
        <v>33.9</v>
      </c>
      <c r="J39">
        <v>24.8</v>
      </c>
      <c r="P39" t="s">
        <v>29</v>
      </c>
      <c r="R39" s="29" t="s">
        <v>328</v>
      </c>
    </row>
    <row r="40" spans="1:18" x14ac:dyDescent="0.25">
      <c r="A40" t="s">
        <v>17</v>
      </c>
      <c r="B40" s="2">
        <v>0.58859126668153006</v>
      </c>
      <c r="C40" s="2">
        <v>8.3199999999999996E-2</v>
      </c>
      <c r="D40" s="25">
        <v>0.71617585169617848</v>
      </c>
      <c r="E40" s="25">
        <v>0.80308341764828639</v>
      </c>
      <c r="F40" s="25">
        <v>6.5000000000000002E-2</v>
      </c>
      <c r="G40">
        <v>7.6</v>
      </c>
      <c r="H40">
        <v>16.8</v>
      </c>
      <c r="I40">
        <v>27.4</v>
      </c>
      <c r="J40">
        <v>17.8</v>
      </c>
      <c r="P40" t="s">
        <v>30</v>
      </c>
      <c r="R40" s="29" t="s">
        <v>329</v>
      </c>
    </row>
    <row r="41" spans="1:18" x14ac:dyDescent="0.25">
      <c r="A41" t="s">
        <v>18</v>
      </c>
      <c r="B41" s="2">
        <v>0.18198980555031152</v>
      </c>
      <c r="C41" s="2">
        <v>0.18</v>
      </c>
      <c r="D41" s="25">
        <v>0.89904396089195082</v>
      </c>
      <c r="E41" s="25">
        <v>1.0181195696106895</v>
      </c>
      <c r="F41" s="25">
        <v>7.2499999999999995E-2</v>
      </c>
      <c r="G41">
        <v>9.3000000000000007</v>
      </c>
      <c r="H41">
        <v>15.3</v>
      </c>
      <c r="I41">
        <v>23.1</v>
      </c>
      <c r="J41">
        <v>17.2</v>
      </c>
      <c r="P41" t="s">
        <v>31</v>
      </c>
      <c r="R41" s="29" t="s">
        <v>330</v>
      </c>
    </row>
    <row r="42" spans="1:18" x14ac:dyDescent="0.25">
      <c r="A42" t="s">
        <v>19</v>
      </c>
      <c r="B42" s="2">
        <v>0.60771515464100878</v>
      </c>
      <c r="C42" s="2">
        <v>0.1027</v>
      </c>
      <c r="D42" s="25">
        <v>0.83932072798536372</v>
      </c>
      <c r="E42" s="25">
        <v>0.89792122914030448</v>
      </c>
      <c r="F42" s="25">
        <v>2.9000000000000001E-2</v>
      </c>
      <c r="G42">
        <v>1</v>
      </c>
      <c r="H42">
        <v>9.1999999999999993</v>
      </c>
      <c r="I42">
        <v>21.8</v>
      </c>
      <c r="J42">
        <v>10.6</v>
      </c>
      <c r="P42" t="s">
        <v>32</v>
      </c>
      <c r="R42" s="29" t="s">
        <v>331</v>
      </c>
    </row>
    <row r="43" spans="1:18" x14ac:dyDescent="0.25">
      <c r="A43" t="s">
        <v>20</v>
      </c>
      <c r="B43" s="2">
        <v>0.20670175889074338</v>
      </c>
      <c r="C43" s="2">
        <v>0.1913</v>
      </c>
      <c r="D43" s="25">
        <v>0.79441145791950596</v>
      </c>
      <c r="E43" s="25">
        <v>0.85274778689758834</v>
      </c>
      <c r="F43" s="25">
        <v>6.3500000000000001E-2</v>
      </c>
      <c r="G43">
        <v>0.4</v>
      </c>
      <c r="H43">
        <v>8.9</v>
      </c>
      <c r="I43">
        <v>21.7</v>
      </c>
      <c r="J43">
        <v>11</v>
      </c>
      <c r="P43" t="s">
        <v>33</v>
      </c>
      <c r="R43" s="29" t="s">
        <v>332</v>
      </c>
    </row>
    <row r="44" spans="1:18" x14ac:dyDescent="0.25">
      <c r="A44" t="s">
        <v>21</v>
      </c>
      <c r="B44" s="2">
        <v>0.65289466972711041</v>
      </c>
      <c r="C44" s="2">
        <v>0.1024</v>
      </c>
      <c r="D44" s="25">
        <v>0.82554821314955606</v>
      </c>
      <c r="E44" s="25">
        <v>0.90637473879976016</v>
      </c>
      <c r="F44" s="25">
        <v>0</v>
      </c>
      <c r="G44">
        <v>5</v>
      </c>
      <c r="H44">
        <v>12.8</v>
      </c>
      <c r="I44">
        <v>24.2</v>
      </c>
      <c r="J44">
        <v>15.1</v>
      </c>
      <c r="P44" t="s">
        <v>34</v>
      </c>
      <c r="R44" s="29" t="s">
        <v>333</v>
      </c>
    </row>
    <row r="45" spans="1:18" x14ac:dyDescent="0.25">
      <c r="A45" t="s">
        <v>22</v>
      </c>
      <c r="B45" s="2">
        <v>0.41954522578578946</v>
      </c>
      <c r="C45" s="2">
        <v>0.11900000000000001</v>
      </c>
      <c r="D45" s="25">
        <v>0.82554821314955606</v>
      </c>
      <c r="E45" s="25">
        <v>0.90637473879976016</v>
      </c>
      <c r="F45" s="25">
        <v>0.06</v>
      </c>
      <c r="G45">
        <v>12.7</v>
      </c>
      <c r="H45">
        <v>19.399999999999999</v>
      </c>
      <c r="I45">
        <v>27.4</v>
      </c>
      <c r="J45">
        <v>20.6</v>
      </c>
      <c r="P45" t="s">
        <v>35</v>
      </c>
      <c r="R45" s="29" t="s">
        <v>334</v>
      </c>
    </row>
    <row r="46" spans="1:18" x14ac:dyDescent="0.25">
      <c r="A46" t="s">
        <v>23</v>
      </c>
      <c r="B46" s="2">
        <v>0.42315789473684212</v>
      </c>
      <c r="C46" s="2">
        <v>0.10060000000000001</v>
      </c>
      <c r="D46" s="25">
        <v>0.74770378495734524</v>
      </c>
      <c r="E46" s="25">
        <v>0.83848248934725689</v>
      </c>
      <c r="F46" s="25">
        <v>0.04</v>
      </c>
      <c r="G46">
        <v>8.4</v>
      </c>
      <c r="H46">
        <v>17</v>
      </c>
      <c r="I46">
        <v>26.3</v>
      </c>
      <c r="J46">
        <v>17.399999999999999</v>
      </c>
      <c r="P46" t="s">
        <v>36</v>
      </c>
      <c r="R46" s="29" t="s">
        <v>335</v>
      </c>
    </row>
    <row r="47" spans="1:18" x14ac:dyDescent="0.25">
      <c r="A47" t="s">
        <v>24</v>
      </c>
      <c r="B47" s="2">
        <v>0.71042471042471045</v>
      </c>
      <c r="C47" s="2">
        <v>9.9299999999999999E-2</v>
      </c>
      <c r="D47" s="25">
        <v>0.74770378495734524</v>
      </c>
      <c r="E47" s="25">
        <v>0.83848248934725689</v>
      </c>
      <c r="F47" s="25">
        <v>0.04</v>
      </c>
      <c r="G47">
        <v>23.9</v>
      </c>
      <c r="H47">
        <v>24.5</v>
      </c>
      <c r="I47">
        <v>27.2</v>
      </c>
      <c r="J47">
        <v>26.5</v>
      </c>
      <c r="P47" t="s">
        <v>37</v>
      </c>
      <c r="R47" s="29" t="s">
        <v>336</v>
      </c>
    </row>
    <row r="48" spans="1:18" x14ac:dyDescent="0.25">
      <c r="A48" t="s">
        <v>25</v>
      </c>
      <c r="B48" s="2">
        <v>7.2622867758824525E-2</v>
      </c>
      <c r="C48" s="2">
        <v>0.27550000000000002</v>
      </c>
      <c r="D48" s="25">
        <v>0.89904396089195082</v>
      </c>
      <c r="E48" s="25">
        <v>1.0181195696106895</v>
      </c>
      <c r="F48" s="25">
        <v>0.06</v>
      </c>
      <c r="G48">
        <v>1.2</v>
      </c>
      <c r="H48">
        <v>10.8</v>
      </c>
      <c r="I48">
        <v>22.6</v>
      </c>
      <c r="J48">
        <v>11.5</v>
      </c>
      <c r="P48" t="s">
        <v>38</v>
      </c>
      <c r="R48" s="29" t="s">
        <v>337</v>
      </c>
    </row>
    <row r="49" spans="1:18" x14ac:dyDescent="0.25">
      <c r="A49" t="s">
        <v>26</v>
      </c>
      <c r="B49" s="2">
        <v>0.36925636406705337</v>
      </c>
      <c r="C49" s="2">
        <v>7.9899999999999999E-2</v>
      </c>
      <c r="D49" s="25">
        <v>0.83932072798536372</v>
      </c>
      <c r="E49" s="25">
        <v>0.89792122914030448</v>
      </c>
      <c r="F49" s="25">
        <v>6.25E-2</v>
      </c>
      <c r="G49">
        <v>0.7</v>
      </c>
      <c r="H49">
        <v>11.8</v>
      </c>
      <c r="I49">
        <v>23.4</v>
      </c>
      <c r="J49">
        <v>12.8</v>
      </c>
      <c r="P49" t="s">
        <v>39</v>
      </c>
      <c r="R49" s="29" t="s">
        <v>338</v>
      </c>
    </row>
    <row r="50" spans="1:18" x14ac:dyDescent="0.25">
      <c r="A50" t="s">
        <v>27</v>
      </c>
      <c r="B50" s="2">
        <v>0.92155299313052008</v>
      </c>
      <c r="C50" s="2">
        <v>9.7500000000000003E-2</v>
      </c>
      <c r="D50" s="25">
        <v>0.75338348675979216</v>
      </c>
      <c r="E50" s="25">
        <v>0.84904937642157652</v>
      </c>
      <c r="F50" s="25">
        <v>7.0000000000000007E-2</v>
      </c>
      <c r="G50">
        <v>1.3</v>
      </c>
      <c r="H50">
        <v>11.6</v>
      </c>
      <c r="I50">
        <v>23.2</v>
      </c>
      <c r="J50">
        <v>12.9</v>
      </c>
      <c r="P50" t="s">
        <v>40</v>
      </c>
      <c r="R50" s="29" t="s">
        <v>339</v>
      </c>
    </row>
    <row r="51" spans="1:18" x14ac:dyDescent="0.25">
      <c r="A51" t="s">
        <v>28</v>
      </c>
      <c r="B51" s="2">
        <v>0.4891141764999169</v>
      </c>
      <c r="C51" s="2">
        <v>9.9199999999999997E-2</v>
      </c>
      <c r="D51" s="25">
        <v>0.75338348675979216</v>
      </c>
      <c r="E51" s="25">
        <v>0.84904937642157652</v>
      </c>
      <c r="F51" s="25">
        <v>0.06</v>
      </c>
      <c r="G51">
        <v>-1.5</v>
      </c>
      <c r="H51">
        <v>10.6</v>
      </c>
      <c r="I51">
        <v>23.5</v>
      </c>
      <c r="J51">
        <v>11.5</v>
      </c>
      <c r="P51" t="s">
        <v>41</v>
      </c>
      <c r="R51" s="29" t="s">
        <v>340</v>
      </c>
    </row>
    <row r="52" spans="1:18" x14ac:dyDescent="0.25">
      <c r="A52" t="s">
        <v>29</v>
      </c>
      <c r="B52" s="2">
        <v>0.45496622220471511</v>
      </c>
      <c r="C52" s="2">
        <v>8.9700000000000002E-2</v>
      </c>
      <c r="D52" s="25">
        <v>0.75338348675979216</v>
      </c>
      <c r="E52" s="25">
        <v>0.84904937642157652</v>
      </c>
      <c r="F52" s="25">
        <v>6.5000000000000002E-2</v>
      </c>
      <c r="G52">
        <v>1.9</v>
      </c>
      <c r="H52">
        <v>12.8</v>
      </c>
      <c r="I52">
        <v>24.9</v>
      </c>
      <c r="J52">
        <v>13.4</v>
      </c>
      <c r="P52" t="s">
        <v>42</v>
      </c>
      <c r="R52" s="29" t="s">
        <v>341</v>
      </c>
    </row>
    <row r="53" spans="1:18" x14ac:dyDescent="0.25">
      <c r="A53" t="s">
        <v>30</v>
      </c>
      <c r="B53" s="2">
        <v>0.94062530683236778</v>
      </c>
      <c r="C53" s="2">
        <v>0.1038</v>
      </c>
      <c r="D53" s="25">
        <v>0.75338348675979216</v>
      </c>
      <c r="E53" s="25">
        <v>0.84904937642157652</v>
      </c>
      <c r="F53" s="25">
        <v>0.06</v>
      </c>
      <c r="G53">
        <v>2.6</v>
      </c>
      <c r="H53">
        <v>11.4</v>
      </c>
      <c r="I53">
        <v>23</v>
      </c>
      <c r="J53">
        <v>13</v>
      </c>
      <c r="P53" t="s">
        <v>43</v>
      </c>
      <c r="R53" s="29" t="s">
        <v>342</v>
      </c>
    </row>
    <row r="54" spans="1:18" x14ac:dyDescent="0.25">
      <c r="A54" t="s">
        <v>31</v>
      </c>
      <c r="B54" s="2">
        <v>0.50041283321538088</v>
      </c>
      <c r="C54" s="2">
        <v>8.5800000000000001E-2</v>
      </c>
      <c r="D54" s="25">
        <v>0.75338348675979216</v>
      </c>
      <c r="E54" s="25">
        <v>0.84904937642157652</v>
      </c>
      <c r="F54" s="25">
        <v>4.4499999999999998E-2</v>
      </c>
      <c r="G54">
        <v>12.8</v>
      </c>
      <c r="H54">
        <v>20.2</v>
      </c>
      <c r="I54">
        <v>27.9</v>
      </c>
      <c r="J54">
        <v>20.9</v>
      </c>
      <c r="P54" t="s">
        <v>44</v>
      </c>
      <c r="R54" s="29" t="s">
        <v>343</v>
      </c>
    </row>
    <row r="55" spans="1:18" x14ac:dyDescent="0.25">
      <c r="A55" t="s">
        <v>32</v>
      </c>
      <c r="B55" s="2">
        <v>0.12764448646732066</v>
      </c>
      <c r="C55" s="2">
        <v>7.51E-2</v>
      </c>
      <c r="D55" s="25">
        <v>0.71617585169617848</v>
      </c>
      <c r="E55" s="25">
        <v>0.80308341764828639</v>
      </c>
      <c r="F55" s="25">
        <v>5.5E-2</v>
      </c>
      <c r="G55">
        <v>-2.2999999999999998</v>
      </c>
      <c r="H55">
        <v>6.4</v>
      </c>
      <c r="I55">
        <v>19.5</v>
      </c>
      <c r="J55">
        <v>9.4</v>
      </c>
      <c r="P55" t="s">
        <v>45</v>
      </c>
      <c r="R55" s="29" t="s">
        <v>344</v>
      </c>
    </row>
    <row r="56" spans="1:18" x14ac:dyDescent="0.25">
      <c r="A56" t="s">
        <v>33</v>
      </c>
      <c r="B56" s="2">
        <v>0.42841037204058624</v>
      </c>
      <c r="C56" s="2">
        <v>0.13539999999999999</v>
      </c>
      <c r="D56" s="25">
        <v>0.79441145791950596</v>
      </c>
      <c r="E56" s="25">
        <v>0.85274778689758834</v>
      </c>
      <c r="F56" s="25">
        <v>0.06</v>
      </c>
      <c r="G56">
        <v>5.8</v>
      </c>
      <c r="H56">
        <v>14.1</v>
      </c>
      <c r="I56">
        <v>25.8</v>
      </c>
      <c r="J56">
        <v>16.2</v>
      </c>
      <c r="P56" t="s">
        <v>46</v>
      </c>
      <c r="R56" s="29" t="s">
        <v>345</v>
      </c>
    </row>
    <row r="57" spans="1:18" x14ac:dyDescent="0.25">
      <c r="A57" t="s">
        <v>34</v>
      </c>
      <c r="B57" s="2">
        <v>0.37198488811392039</v>
      </c>
      <c r="C57" s="2">
        <v>0.1115</v>
      </c>
      <c r="D57" s="25">
        <v>0.82554821314955606</v>
      </c>
      <c r="E57" s="25">
        <v>0.90637473879976016</v>
      </c>
      <c r="F57" s="25">
        <v>6.25E-2</v>
      </c>
      <c r="G57">
        <v>2.2000000000000002</v>
      </c>
      <c r="H57">
        <v>9</v>
      </c>
      <c r="I57">
        <v>21.8</v>
      </c>
      <c r="J57">
        <v>12.4</v>
      </c>
      <c r="P57" t="s">
        <v>47</v>
      </c>
      <c r="R57" s="29" t="s">
        <v>346</v>
      </c>
    </row>
    <row r="58" spans="1:18" x14ac:dyDescent="0.25">
      <c r="A58" t="s">
        <v>35</v>
      </c>
      <c r="B58" s="2">
        <v>0.51436252389389803</v>
      </c>
      <c r="C58" s="2">
        <v>0.18190000000000001</v>
      </c>
      <c r="D58" s="25">
        <v>0.79441145791950596</v>
      </c>
      <c r="E58" s="25">
        <v>0.85274778689758834</v>
      </c>
      <c r="F58" s="25">
        <v>0.06</v>
      </c>
      <c r="G58">
        <v>-0.9</v>
      </c>
      <c r="H58">
        <v>8.1999999999999993</v>
      </c>
      <c r="I58">
        <v>20.8</v>
      </c>
      <c r="J58">
        <v>10.4</v>
      </c>
      <c r="P58" t="s">
        <v>48</v>
      </c>
      <c r="R58" s="29" t="s">
        <v>347</v>
      </c>
    </row>
    <row r="59" spans="1:18" x14ac:dyDescent="0.25">
      <c r="A59" t="s">
        <v>36</v>
      </c>
      <c r="B59" s="2">
        <v>0.46003341313446205</v>
      </c>
      <c r="C59" s="2">
        <v>0.12210000000000001</v>
      </c>
      <c r="D59" s="25">
        <v>0.75338348675979216</v>
      </c>
      <c r="E59" s="25">
        <v>0.84904937642157652</v>
      </c>
      <c r="F59" s="25">
        <v>6.8750000000000006E-2</v>
      </c>
      <c r="G59">
        <v>-4.4000000000000004</v>
      </c>
      <c r="H59">
        <v>8.5</v>
      </c>
      <c r="I59">
        <v>22.2</v>
      </c>
      <c r="J59">
        <v>9.5</v>
      </c>
      <c r="P59" t="s">
        <v>49</v>
      </c>
      <c r="R59" s="29" t="s">
        <v>348</v>
      </c>
    </row>
    <row r="60" spans="1:18" x14ac:dyDescent="0.25">
      <c r="A60" t="s">
        <v>37</v>
      </c>
      <c r="B60" s="2">
        <v>0.40238496597365297</v>
      </c>
      <c r="C60" s="2">
        <v>0.1057</v>
      </c>
      <c r="D60" s="25">
        <v>0.75338348675979216</v>
      </c>
      <c r="E60" s="25">
        <v>0.84904937642157652</v>
      </c>
      <c r="F60" s="25">
        <v>7.0000000000000007E-2</v>
      </c>
      <c r="G60">
        <v>9.6999999999999993</v>
      </c>
      <c r="H60">
        <v>18.100000000000001</v>
      </c>
      <c r="I60">
        <v>27.1</v>
      </c>
      <c r="J60">
        <v>18.600000000000001</v>
      </c>
      <c r="P60" t="s">
        <v>50</v>
      </c>
      <c r="R60" s="29" t="s">
        <v>349</v>
      </c>
    </row>
    <row r="61" spans="1:18" x14ac:dyDescent="0.25">
      <c r="A61" t="s">
        <v>38</v>
      </c>
      <c r="B61" s="2">
        <v>0.8395577364098753</v>
      </c>
      <c r="C61" s="2">
        <v>9.1300000000000006E-2</v>
      </c>
      <c r="D61" s="25">
        <v>0.71617585169617848</v>
      </c>
      <c r="E61" s="25">
        <v>0.80308341764828639</v>
      </c>
      <c r="F61" s="25">
        <v>4.2250000000000003E-2</v>
      </c>
      <c r="G61">
        <v>2.5</v>
      </c>
      <c r="H61">
        <v>12.7</v>
      </c>
      <c r="I61">
        <v>24.6</v>
      </c>
      <c r="J61">
        <v>13.9</v>
      </c>
      <c r="P61" t="s">
        <v>51</v>
      </c>
      <c r="R61" s="29" t="s">
        <v>350</v>
      </c>
    </row>
    <row r="62" spans="1:18" x14ac:dyDescent="0.25">
      <c r="A62" t="s">
        <v>39</v>
      </c>
      <c r="B62" s="2">
        <v>0.54565099945975148</v>
      </c>
      <c r="C62" s="2">
        <v>9.64E-2</v>
      </c>
      <c r="D62" s="25">
        <v>0.75338348675979216</v>
      </c>
      <c r="E62" s="25">
        <v>0.84904937642157652</v>
      </c>
      <c r="F62" s="25">
        <v>0</v>
      </c>
      <c r="G62">
        <v>-3.4</v>
      </c>
      <c r="H62">
        <v>7.2</v>
      </c>
      <c r="I62">
        <v>19.399999999999999</v>
      </c>
      <c r="J62">
        <v>7.5</v>
      </c>
      <c r="P62" t="s">
        <v>52</v>
      </c>
      <c r="R62" s="29" t="s">
        <v>351</v>
      </c>
    </row>
    <row r="63" spans="1:18" x14ac:dyDescent="0.25">
      <c r="A63" t="s">
        <v>40</v>
      </c>
      <c r="B63" s="2">
        <v>0.64469836456189755</v>
      </c>
      <c r="C63" s="2">
        <v>9.1300000000000006E-2</v>
      </c>
      <c r="D63" s="25">
        <v>0.83932072798536372</v>
      </c>
      <c r="E63" s="25">
        <v>0.89792122914030448</v>
      </c>
      <c r="F63" s="25">
        <v>5.5E-2</v>
      </c>
      <c r="G63">
        <v>-1.1000000000000001</v>
      </c>
      <c r="H63">
        <v>10.7</v>
      </c>
      <c r="I63">
        <v>24</v>
      </c>
      <c r="J63">
        <v>11.6</v>
      </c>
      <c r="P63" t="s">
        <v>53</v>
      </c>
      <c r="R63" s="29" t="s">
        <v>352</v>
      </c>
    </row>
    <row r="64" spans="1:18" x14ac:dyDescent="0.25">
      <c r="A64" t="s">
        <v>41</v>
      </c>
      <c r="B64" s="2">
        <v>0.35121000820344545</v>
      </c>
      <c r="C64" s="2">
        <v>8.9700000000000002E-2</v>
      </c>
      <c r="D64" s="25">
        <v>0.75338348675979216</v>
      </c>
      <c r="E64" s="25">
        <v>0.84904937642157652</v>
      </c>
      <c r="F64" s="25">
        <v>6.8500000000000005E-2</v>
      </c>
      <c r="G64">
        <v>2.1</v>
      </c>
      <c r="H64">
        <v>9.6</v>
      </c>
      <c r="I64">
        <v>20.100000000000001</v>
      </c>
      <c r="J64">
        <v>10.6</v>
      </c>
      <c r="P64" t="s">
        <v>54</v>
      </c>
      <c r="R64" s="29" t="s">
        <v>353</v>
      </c>
    </row>
    <row r="65" spans="1:18" x14ac:dyDescent="0.25">
      <c r="A65" t="s">
        <v>42</v>
      </c>
      <c r="B65" s="2">
        <v>0.11487842962302029</v>
      </c>
      <c r="C65" s="2">
        <v>0.1663</v>
      </c>
      <c r="D65" s="25">
        <v>0.79441145791950596</v>
      </c>
      <c r="E65" s="25">
        <v>0.85274778689758834</v>
      </c>
      <c r="F65" s="25">
        <v>0</v>
      </c>
      <c r="G65">
        <v>-2.1</v>
      </c>
      <c r="H65">
        <v>7</v>
      </c>
      <c r="I65">
        <v>19.899999999999999</v>
      </c>
      <c r="J65">
        <v>9.3000000000000007</v>
      </c>
      <c r="P65" t="s">
        <v>55</v>
      </c>
      <c r="R65" s="29" t="s">
        <v>354</v>
      </c>
    </row>
    <row r="66" spans="1:18" x14ac:dyDescent="0.25">
      <c r="A66" t="s">
        <v>43</v>
      </c>
      <c r="B66" s="2">
        <v>0.2498022578557561</v>
      </c>
      <c r="C66" s="2">
        <v>0.1363</v>
      </c>
      <c r="D66" s="25">
        <v>0.82554821314955606</v>
      </c>
      <c r="E66" s="25">
        <v>0.90637473879976016</v>
      </c>
      <c r="F66" s="25">
        <v>6.25E-2</v>
      </c>
      <c r="G66">
        <v>0.1</v>
      </c>
      <c r="H66">
        <v>8.4</v>
      </c>
      <c r="I66">
        <v>20.6</v>
      </c>
      <c r="J66">
        <v>10.5</v>
      </c>
      <c r="P66" t="s">
        <v>56</v>
      </c>
      <c r="R66" s="29" t="s">
        <v>355</v>
      </c>
    </row>
    <row r="67" spans="1:18" x14ac:dyDescent="0.25">
      <c r="A67" t="s">
        <v>44</v>
      </c>
      <c r="B67" s="2">
        <v>0.52308833176463876</v>
      </c>
      <c r="C67" s="2">
        <v>9.3299999999999994E-2</v>
      </c>
      <c r="D67" s="25">
        <v>0.71617585169617848</v>
      </c>
      <c r="E67" s="25">
        <v>0.80308341764828639</v>
      </c>
      <c r="F67" s="25">
        <v>5.1249999999999997E-2</v>
      </c>
      <c r="G67">
        <v>0.7</v>
      </c>
      <c r="H67">
        <v>9.5</v>
      </c>
      <c r="I67">
        <v>20</v>
      </c>
      <c r="J67">
        <v>10.5</v>
      </c>
      <c r="P67" t="s">
        <v>57</v>
      </c>
      <c r="R67" s="29" t="s">
        <v>356</v>
      </c>
    </row>
    <row r="68" spans="1:18" x14ac:dyDescent="0.25">
      <c r="A68" t="s">
        <v>45</v>
      </c>
      <c r="B68" s="2">
        <v>0.18929125831190194</v>
      </c>
      <c r="C68" s="2">
        <v>0.1487</v>
      </c>
      <c r="D68" s="25">
        <v>0.82554821314955606</v>
      </c>
      <c r="E68" s="25">
        <v>0.90637473879976016</v>
      </c>
      <c r="F68" s="25">
        <v>0.04</v>
      </c>
      <c r="G68">
        <v>-0.9</v>
      </c>
      <c r="H68">
        <v>8.1999999999999993</v>
      </c>
      <c r="I68">
        <v>20.8</v>
      </c>
      <c r="J68">
        <v>10.3</v>
      </c>
      <c r="P68" t="s">
        <v>58</v>
      </c>
      <c r="R68" s="29" t="s">
        <v>357</v>
      </c>
    </row>
    <row r="69" spans="1:18" x14ac:dyDescent="0.25">
      <c r="A69" t="s">
        <v>46</v>
      </c>
      <c r="B69" s="2">
        <v>0.37449471092043923</v>
      </c>
      <c r="C69" s="2">
        <v>9.4299999999999995E-2</v>
      </c>
      <c r="D69" s="25">
        <v>0.74770378495734524</v>
      </c>
      <c r="E69" s="25">
        <v>0.83848248934725689</v>
      </c>
      <c r="F69" s="25">
        <v>4.7500000000000001E-2</v>
      </c>
      <c r="G69">
        <v>7.9</v>
      </c>
      <c r="H69">
        <v>15.7</v>
      </c>
      <c r="I69">
        <v>25.2</v>
      </c>
      <c r="J69">
        <v>16.600000000000001</v>
      </c>
      <c r="P69" t="s">
        <v>59</v>
      </c>
      <c r="R69" s="29" t="s">
        <v>358</v>
      </c>
    </row>
    <row r="70" spans="1:18" x14ac:dyDescent="0.25">
      <c r="A70" t="s">
        <v>47</v>
      </c>
      <c r="B70" s="2">
        <v>0.73770292306568985</v>
      </c>
      <c r="C70" s="2">
        <v>8.5299999999999987E-2</v>
      </c>
      <c r="D70" s="25">
        <v>0.75338348675979216</v>
      </c>
      <c r="E70" s="25">
        <v>0.84904937642157652</v>
      </c>
      <c r="F70" s="25">
        <v>0.05</v>
      </c>
      <c r="G70">
        <v>-7</v>
      </c>
      <c r="H70">
        <v>6.1</v>
      </c>
      <c r="I70">
        <v>20.2</v>
      </c>
      <c r="J70">
        <v>6.8</v>
      </c>
      <c r="P70" t="s">
        <v>60</v>
      </c>
      <c r="R70" s="29" t="s">
        <v>359</v>
      </c>
    </row>
    <row r="71" spans="1:18" x14ac:dyDescent="0.25">
      <c r="A71" t="s">
        <v>48</v>
      </c>
      <c r="B71" s="2">
        <v>0.65147646722881047</v>
      </c>
      <c r="C71" s="2">
        <v>9.4399999999999998E-2</v>
      </c>
      <c r="D71" s="25">
        <v>0.75338348675979216</v>
      </c>
      <c r="E71" s="25">
        <v>0.84904937642157652</v>
      </c>
      <c r="F71" s="25">
        <v>5.7500000000000002E-2</v>
      </c>
      <c r="G71">
        <v>1.7</v>
      </c>
      <c r="H71">
        <v>11.2</v>
      </c>
      <c r="I71">
        <v>23</v>
      </c>
      <c r="J71">
        <v>12.7</v>
      </c>
      <c r="P71" t="s">
        <v>61</v>
      </c>
      <c r="R71" s="29" t="s">
        <v>360</v>
      </c>
    </row>
    <row r="72" spans="1:18" x14ac:dyDescent="0.25">
      <c r="A72" t="s">
        <v>49</v>
      </c>
      <c r="B72" s="2">
        <v>0.39153414073424503</v>
      </c>
      <c r="C72" s="2">
        <v>7.6299999999999993E-2</v>
      </c>
      <c r="D72" s="25">
        <v>0.75338348675979216</v>
      </c>
      <c r="E72" s="25">
        <v>0.84904937642157652</v>
      </c>
      <c r="F72" s="25">
        <v>4.4999999999999998E-2</v>
      </c>
      <c r="G72">
        <v>6.6</v>
      </c>
      <c r="H72">
        <v>16.100000000000001</v>
      </c>
      <c r="I72">
        <v>27.2</v>
      </c>
      <c r="J72">
        <v>16.899999999999999</v>
      </c>
      <c r="P72" t="s">
        <v>62</v>
      </c>
      <c r="R72" s="29" t="s">
        <v>361</v>
      </c>
    </row>
    <row r="73" spans="1:18" x14ac:dyDescent="0.25">
      <c r="A73" t="s">
        <v>50</v>
      </c>
      <c r="B73" s="2">
        <v>0.1360036354193716</v>
      </c>
      <c r="C73" s="2">
        <v>8.8200000000000001E-2</v>
      </c>
      <c r="D73" s="25">
        <v>0.89904396089195082</v>
      </c>
      <c r="E73" s="25">
        <v>1.0181195696106895</v>
      </c>
      <c r="F73" s="25">
        <v>0</v>
      </c>
      <c r="G73">
        <v>5.7</v>
      </c>
      <c r="H73">
        <v>10.7</v>
      </c>
      <c r="I73">
        <v>18.600000000000001</v>
      </c>
      <c r="J73">
        <v>12</v>
      </c>
      <c r="P73" t="s">
        <v>63</v>
      </c>
      <c r="R73" s="29" t="s">
        <v>362</v>
      </c>
    </row>
    <row r="74" spans="1:18" x14ac:dyDescent="0.25">
      <c r="A74" t="s">
        <v>51</v>
      </c>
      <c r="B74" s="2">
        <v>0.33118939769268879</v>
      </c>
      <c r="C74" s="2">
        <v>9.6999999999999989E-2</v>
      </c>
      <c r="D74" s="25">
        <v>0.82554821314955606</v>
      </c>
      <c r="E74" s="25">
        <v>0.90637473879976016</v>
      </c>
      <c r="F74" s="25">
        <v>0.06</v>
      </c>
      <c r="G74">
        <v>2.6</v>
      </c>
      <c r="H74">
        <v>11.2</v>
      </c>
      <c r="I74">
        <v>23.1</v>
      </c>
      <c r="J74">
        <v>12.9</v>
      </c>
      <c r="R74" s="29" t="s">
        <v>363</v>
      </c>
    </row>
    <row r="75" spans="1:18" x14ac:dyDescent="0.25">
      <c r="A75" t="s">
        <v>52</v>
      </c>
      <c r="B75" s="2">
        <v>0.42716154521983324</v>
      </c>
      <c r="C75" s="2">
        <v>0.18539999999999998</v>
      </c>
      <c r="D75" s="25">
        <v>0.79441145791950596</v>
      </c>
      <c r="E75" s="25">
        <v>0.85274778689758834</v>
      </c>
      <c r="F75" s="25">
        <v>7.0000000000000007E-2</v>
      </c>
      <c r="G75">
        <v>2.1</v>
      </c>
      <c r="H75">
        <v>9.4</v>
      </c>
      <c r="I75">
        <v>21.8</v>
      </c>
      <c r="J75">
        <v>12.3</v>
      </c>
      <c r="R75" s="29" t="s">
        <v>364</v>
      </c>
    </row>
    <row r="76" spans="1:18" x14ac:dyDescent="0.25">
      <c r="A76" t="s">
        <v>53</v>
      </c>
      <c r="B76" s="2">
        <v>0.29220416738558974</v>
      </c>
      <c r="C76" s="2">
        <v>9.9000000000000005E-2</v>
      </c>
      <c r="D76" s="25">
        <v>0.74770378495734524</v>
      </c>
      <c r="E76" s="25">
        <v>0.83848248934725689</v>
      </c>
      <c r="F76" s="25">
        <v>0.06</v>
      </c>
      <c r="G76">
        <v>10.9</v>
      </c>
      <c r="H76">
        <v>19.3</v>
      </c>
      <c r="I76">
        <v>28.1</v>
      </c>
      <c r="J76">
        <v>19.600000000000001</v>
      </c>
      <c r="R76" s="29" t="s">
        <v>365</v>
      </c>
    </row>
    <row r="77" spans="1:18" x14ac:dyDescent="0.25">
      <c r="A77" t="s">
        <v>54</v>
      </c>
      <c r="B77" s="2">
        <v>0.19870291154960673</v>
      </c>
      <c r="C77" s="2">
        <v>0.10060000000000001</v>
      </c>
      <c r="D77" s="25">
        <v>0.75338348675979216</v>
      </c>
      <c r="E77" s="25">
        <v>0.84904937642157652</v>
      </c>
      <c r="F77" s="25">
        <v>4.4999999999999998E-2</v>
      </c>
      <c r="G77">
        <v>-3.9</v>
      </c>
      <c r="H77">
        <v>8</v>
      </c>
      <c r="I77">
        <v>22.3</v>
      </c>
      <c r="J77">
        <v>9</v>
      </c>
      <c r="R77" s="29" t="s">
        <v>366</v>
      </c>
    </row>
    <row r="78" spans="1:18" x14ac:dyDescent="0.25">
      <c r="A78" t="s">
        <v>55</v>
      </c>
      <c r="B78" s="2">
        <v>0.32795536791314839</v>
      </c>
      <c r="C78" s="2">
        <v>9.5199999999999993E-2</v>
      </c>
      <c r="D78" s="25">
        <v>0.75338348675979216</v>
      </c>
      <c r="E78" s="25">
        <v>0.84904937642157652</v>
      </c>
      <c r="F78" s="25">
        <v>7.0000000000000007E-2</v>
      </c>
      <c r="G78">
        <v>5.7</v>
      </c>
      <c r="H78">
        <v>14.9</v>
      </c>
      <c r="I78">
        <v>25.4</v>
      </c>
      <c r="J78">
        <v>15.8</v>
      </c>
      <c r="R78" s="29" t="s">
        <v>367</v>
      </c>
    </row>
    <row r="79" spans="1:18" x14ac:dyDescent="0.25">
      <c r="A79" t="s">
        <v>56</v>
      </c>
      <c r="B79" s="2">
        <v>0.46098757327935963</v>
      </c>
      <c r="C79" s="2">
        <v>8.3599999999999994E-2</v>
      </c>
      <c r="D79" s="25">
        <v>0.71617585169617848</v>
      </c>
      <c r="E79" s="25">
        <v>0.80308341764828639</v>
      </c>
      <c r="F79" s="25">
        <v>6.25E-2</v>
      </c>
      <c r="G79">
        <v>12.9</v>
      </c>
      <c r="H79">
        <v>20.7</v>
      </c>
      <c r="I79">
        <v>29.1</v>
      </c>
      <c r="J79">
        <v>21.6</v>
      </c>
      <c r="R79" s="29" t="s">
        <v>368</v>
      </c>
    </row>
    <row r="80" spans="1:18" x14ac:dyDescent="0.25">
      <c r="A80" t="s">
        <v>57</v>
      </c>
      <c r="B80" s="2">
        <v>0.7435677752680635</v>
      </c>
      <c r="C80" s="2">
        <v>8.2699999999999996E-2</v>
      </c>
      <c r="D80" s="25">
        <v>0.83932072798536372</v>
      </c>
      <c r="E80" s="25">
        <v>0.89792122914030448</v>
      </c>
      <c r="F80" s="25">
        <v>4.8500000000000001E-2</v>
      </c>
      <c r="G80">
        <v>2.2999999999999998</v>
      </c>
      <c r="H80">
        <v>11.7</v>
      </c>
      <c r="I80">
        <v>24.6</v>
      </c>
      <c r="J80">
        <v>13.1</v>
      </c>
      <c r="R80" s="29" t="s">
        <v>369</v>
      </c>
    </row>
    <row r="81" spans="1:18" x14ac:dyDescent="0.25">
      <c r="A81" t="s">
        <v>58</v>
      </c>
      <c r="B81" s="2">
        <v>0</v>
      </c>
      <c r="C81" s="2">
        <v>0.16329999999999997</v>
      </c>
      <c r="D81" s="25">
        <v>0.79441145791950596</v>
      </c>
      <c r="E81" s="25">
        <v>0.85274778689758834</v>
      </c>
      <c r="F81" s="25">
        <v>0.06</v>
      </c>
      <c r="G81">
        <v>-3.9</v>
      </c>
      <c r="H81">
        <v>5.4</v>
      </c>
      <c r="I81">
        <v>18.3</v>
      </c>
      <c r="J81">
        <v>7.9</v>
      </c>
      <c r="R81" s="29" t="s">
        <v>370</v>
      </c>
    </row>
    <row r="82" spans="1:18" x14ac:dyDescent="0.25">
      <c r="A82" t="s">
        <v>59</v>
      </c>
      <c r="B82" s="2">
        <v>0.32565705537126816</v>
      </c>
      <c r="C82" s="2">
        <v>9.1600000000000001E-2</v>
      </c>
      <c r="D82" s="25">
        <v>0.74770378495734524</v>
      </c>
      <c r="E82" s="25">
        <v>0.83848248934725689</v>
      </c>
      <c r="F82" s="25">
        <v>4.2999999999999997E-2</v>
      </c>
      <c r="G82">
        <v>6</v>
      </c>
      <c r="H82">
        <v>14.3</v>
      </c>
      <c r="I82">
        <v>25.3</v>
      </c>
      <c r="J82">
        <v>15.6</v>
      </c>
      <c r="R82" s="29" t="s">
        <v>371</v>
      </c>
    </row>
    <row r="83" spans="1:18" x14ac:dyDescent="0.25">
      <c r="A83" t="s">
        <v>60</v>
      </c>
      <c r="B83" s="2">
        <v>9.7272718551845203E-2</v>
      </c>
      <c r="C83" s="2">
        <v>8.3299999999999999E-2</v>
      </c>
      <c r="D83" s="25">
        <v>0.89904396089195082</v>
      </c>
      <c r="E83" s="25">
        <v>1.0181195696106895</v>
      </c>
      <c r="F83" s="25">
        <v>6.5000000000000002E-2</v>
      </c>
      <c r="G83">
        <v>4.7</v>
      </c>
      <c r="H83">
        <v>9.4</v>
      </c>
      <c r="I83">
        <v>17.100000000000001</v>
      </c>
      <c r="J83">
        <v>10.4</v>
      </c>
      <c r="R83" s="29" t="s">
        <v>372</v>
      </c>
    </row>
    <row r="84" spans="1:18" x14ac:dyDescent="0.25">
      <c r="A84" t="s">
        <v>61</v>
      </c>
      <c r="B84" s="2">
        <v>0.97704175242106606</v>
      </c>
      <c r="C84" s="2">
        <v>8.7499999999999994E-2</v>
      </c>
      <c r="D84" s="25">
        <v>0.74770378495734524</v>
      </c>
      <c r="E84" s="25">
        <v>0.83848248934725689</v>
      </c>
      <c r="F84" s="25">
        <v>0.06</v>
      </c>
      <c r="G84">
        <v>4.2</v>
      </c>
      <c r="H84">
        <v>12.9</v>
      </c>
      <c r="I84">
        <v>23.3</v>
      </c>
      <c r="J84">
        <v>13.9</v>
      </c>
      <c r="R84" s="29" t="s">
        <v>373</v>
      </c>
    </row>
    <row r="85" spans="1:18" x14ac:dyDescent="0.25">
      <c r="A85" t="s">
        <v>62</v>
      </c>
      <c r="B85" s="2">
        <v>0.65451260573211789</v>
      </c>
      <c r="C85" s="2">
        <v>0.1082</v>
      </c>
      <c r="D85" s="25">
        <v>0.75338348675979216</v>
      </c>
      <c r="E85" s="25">
        <v>0.84904937642157652</v>
      </c>
      <c r="F85" s="25">
        <v>0.05</v>
      </c>
      <c r="G85">
        <v>-3.4</v>
      </c>
      <c r="H85">
        <v>7.7</v>
      </c>
      <c r="I85">
        <v>20.6</v>
      </c>
      <c r="J85">
        <v>9.1999999999999993</v>
      </c>
      <c r="R85" s="29" t="s">
        <v>374</v>
      </c>
    </row>
    <row r="86" spans="1:18" x14ac:dyDescent="0.25">
      <c r="A86" t="s">
        <v>63</v>
      </c>
      <c r="B86" s="2">
        <v>0.99612821015487163</v>
      </c>
      <c r="C86" s="2">
        <v>8.2699999999999996E-2</v>
      </c>
      <c r="D86" s="25">
        <v>0.83932072798536372</v>
      </c>
      <c r="E86" s="25">
        <v>0.89792122914030448</v>
      </c>
      <c r="F86" s="25">
        <v>0.04</v>
      </c>
      <c r="G86">
        <v>-0.8</v>
      </c>
      <c r="H86">
        <v>6.5</v>
      </c>
      <c r="I86">
        <v>19.100000000000001</v>
      </c>
      <c r="J86">
        <v>8.1999999999999993</v>
      </c>
      <c r="R86" s="29" t="s">
        <v>375</v>
      </c>
    </row>
    <row r="87" spans="1:18" x14ac:dyDescent="0.25">
      <c r="R87" s="29" t="s">
        <v>376</v>
      </c>
    </row>
    <row r="88" spans="1:18" x14ac:dyDescent="0.25">
      <c r="R88" s="29" t="s">
        <v>377</v>
      </c>
    </row>
    <row r="89" spans="1:18" x14ac:dyDescent="0.25">
      <c r="R89" s="29" t="s">
        <v>378</v>
      </c>
    </row>
    <row r="90" spans="1:18" x14ac:dyDescent="0.25">
      <c r="R90" s="29" t="s">
        <v>379</v>
      </c>
    </row>
    <row r="91" spans="1:18" x14ac:dyDescent="0.25">
      <c r="R91" s="29" t="s">
        <v>380</v>
      </c>
    </row>
    <row r="92" spans="1:18" x14ac:dyDescent="0.25">
      <c r="R92" s="29" t="s">
        <v>381</v>
      </c>
    </row>
    <row r="93" spans="1:18" x14ac:dyDescent="0.25">
      <c r="R93" s="29" t="s">
        <v>382</v>
      </c>
    </row>
    <row r="94" spans="1:18" x14ac:dyDescent="0.25">
      <c r="R94" s="29" t="s">
        <v>383</v>
      </c>
    </row>
    <row r="95" spans="1:18" x14ac:dyDescent="0.25">
      <c r="R95" s="29" t="s">
        <v>384</v>
      </c>
    </row>
    <row r="96" spans="1:18" x14ac:dyDescent="0.25">
      <c r="R96" s="29" t="s">
        <v>385</v>
      </c>
    </row>
    <row r="97" spans="18:18" x14ac:dyDescent="0.25">
      <c r="R97" s="29" t="s">
        <v>386</v>
      </c>
    </row>
    <row r="98" spans="18:18" x14ac:dyDescent="0.25">
      <c r="R98" s="29" t="s">
        <v>387</v>
      </c>
    </row>
    <row r="99" spans="18:18" x14ac:dyDescent="0.25">
      <c r="R99" s="29" t="s">
        <v>388</v>
      </c>
    </row>
    <row r="100" spans="18:18" x14ac:dyDescent="0.25">
      <c r="R100" s="29" t="s">
        <v>389</v>
      </c>
    </row>
    <row r="101" spans="18:18" x14ac:dyDescent="0.25">
      <c r="R101" s="29" t="s">
        <v>390</v>
      </c>
    </row>
    <row r="102" spans="18:18" x14ac:dyDescent="0.25">
      <c r="R102" s="29" t="s">
        <v>391</v>
      </c>
    </row>
    <row r="103" spans="18:18" x14ac:dyDescent="0.25">
      <c r="R103" s="29" t="s">
        <v>392</v>
      </c>
    </row>
    <row r="104" spans="18:18" x14ac:dyDescent="0.25">
      <c r="R104" s="29" t="s">
        <v>393</v>
      </c>
    </row>
    <row r="105" spans="18:18" x14ac:dyDescent="0.25">
      <c r="R105" s="29" t="s">
        <v>394</v>
      </c>
    </row>
    <row r="106" spans="18:18" x14ac:dyDescent="0.25">
      <c r="R106" s="29" t="s">
        <v>395</v>
      </c>
    </row>
    <row r="107" spans="18:18" x14ac:dyDescent="0.25">
      <c r="R107" s="29" t="s">
        <v>396</v>
      </c>
    </row>
    <row r="108" spans="18:18" x14ac:dyDescent="0.25">
      <c r="R108" s="29" t="s">
        <v>397</v>
      </c>
    </row>
    <row r="109" spans="18:18" x14ac:dyDescent="0.25">
      <c r="R109" s="29" t="s">
        <v>398</v>
      </c>
    </row>
    <row r="110" spans="18:18" x14ac:dyDescent="0.25">
      <c r="R110" s="29" t="s">
        <v>399</v>
      </c>
    </row>
    <row r="111" spans="18:18" x14ac:dyDescent="0.25">
      <c r="R111" s="29" t="s">
        <v>400</v>
      </c>
    </row>
    <row r="112" spans="18:18" x14ac:dyDescent="0.25">
      <c r="R112" s="29" t="s">
        <v>401</v>
      </c>
    </row>
    <row r="113" spans="18:18" x14ac:dyDescent="0.25">
      <c r="R113" s="29" t="s">
        <v>402</v>
      </c>
    </row>
  </sheetData>
  <sheetProtection password="E5E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82</vt:i4>
      </vt:variant>
    </vt:vector>
  </HeadingPairs>
  <TitlesOfParts>
    <vt:vector size="86" baseType="lpstr">
      <vt:lpstr>Read Me</vt:lpstr>
      <vt:lpstr>Dashboard</vt:lpstr>
      <vt:lpstr>Calculations</vt:lpstr>
      <vt:lpstr>Backhouse</vt:lpstr>
      <vt:lpstr>Canada</vt:lpstr>
      <vt:lpstr>ChargerInstallCost</vt:lpstr>
      <vt:lpstr>CheckBoxes</vt:lpstr>
      <vt:lpstr>ClimateData</vt:lpstr>
      <vt:lpstr>Country</vt:lpstr>
      <vt:lpstr>CurrencyMultiplier</vt:lpstr>
      <vt:lpstr>CurrencySelection</vt:lpstr>
      <vt:lpstr>CurrencySymbol</vt:lpstr>
      <vt:lpstr>CurrencySymbolList</vt:lpstr>
      <vt:lpstr>DieselEmissions</vt:lpstr>
      <vt:lpstr>DieselPrice</vt:lpstr>
      <vt:lpstr>DownPayment</vt:lpstr>
      <vt:lpstr>DrivingDistance</vt:lpstr>
      <vt:lpstr>ElectricalUpgradeCost</vt:lpstr>
      <vt:lpstr>ElectricityEmissions</vt:lpstr>
      <vt:lpstr>ElectricityPrice</vt:lpstr>
      <vt:lpstr>EnergyData</vt:lpstr>
      <vt:lpstr>EnergyInFuel</vt:lpstr>
      <vt:lpstr>EVEconomy</vt:lpstr>
      <vt:lpstr>EVList</vt:lpstr>
      <vt:lpstr>EVMaintenance</vt:lpstr>
      <vt:lpstr>EVMakeModel</vt:lpstr>
      <vt:lpstr>EVManufacturingEmissions</vt:lpstr>
      <vt:lpstr>EVPrice</vt:lpstr>
      <vt:lpstr>EVRangevsTemp</vt:lpstr>
      <vt:lpstr>EVSubsidy</vt:lpstr>
      <vt:lpstr>EVTable</vt:lpstr>
      <vt:lpstr>FallTemp</vt:lpstr>
      <vt:lpstr>GasolineEmissions</vt:lpstr>
      <vt:lpstr>GasolinePrice</vt:lpstr>
      <vt:lpstr>HighwayDistance</vt:lpstr>
      <vt:lpstr>ICEVEconomy</vt:lpstr>
      <vt:lpstr>ICEVFuelType</vt:lpstr>
      <vt:lpstr>ICEVList</vt:lpstr>
      <vt:lpstr>ICEVMaintenance</vt:lpstr>
      <vt:lpstr>ICEVMakeModel</vt:lpstr>
      <vt:lpstr>ICEVManufacturingEmissions</vt:lpstr>
      <vt:lpstr>ICEVPrice</vt:lpstr>
      <vt:lpstr>ICEVTable</vt:lpstr>
      <vt:lpstr>InputCountry</vt:lpstr>
      <vt:lpstr>InputProvince</vt:lpstr>
      <vt:lpstr>InterestRate</vt:lpstr>
      <vt:lpstr>LengthofOwnership</vt:lpstr>
      <vt:lpstr>LoanTerm</vt:lpstr>
      <vt:lpstr>SalesTax</vt:lpstr>
      <vt:lpstr>SelfDefinedChargerInstallCost</vt:lpstr>
      <vt:lpstr>SelfDefinedCurrencyMultiplier</vt:lpstr>
      <vt:lpstr>SelfDefinedCurrencySymbol</vt:lpstr>
      <vt:lpstr>SelfDefinedDieselEmissions</vt:lpstr>
      <vt:lpstr>SelfDefinedDieselPrice</vt:lpstr>
      <vt:lpstr>SelfDefinedDownPayment</vt:lpstr>
      <vt:lpstr>SelfDefinedDrivingDistance</vt:lpstr>
      <vt:lpstr>SelfDefinedElectricityEmissions</vt:lpstr>
      <vt:lpstr>SelfDefinedElectricityPrice</vt:lpstr>
      <vt:lpstr>SelfDefinedEVEconomy</vt:lpstr>
      <vt:lpstr>SelfDefinedEVMaintenance</vt:lpstr>
      <vt:lpstr>SelfDefinedEVMakeModel</vt:lpstr>
      <vt:lpstr>SelfDefinedEVManufacturingEmissions</vt:lpstr>
      <vt:lpstr>SelfDefinedEVPrice</vt:lpstr>
      <vt:lpstr>SelfDefinedEVSubsidy</vt:lpstr>
      <vt:lpstr>SelfDefinedFallTemp</vt:lpstr>
      <vt:lpstr>SelfDefinedGasolineEmissions</vt:lpstr>
      <vt:lpstr>SelfDefinedGasolinePrice</vt:lpstr>
      <vt:lpstr>SelfDefinedHighwayDistance</vt:lpstr>
      <vt:lpstr>SelfDefinedICEVEconomy</vt:lpstr>
      <vt:lpstr>SelfDefinedICEVFuelType</vt:lpstr>
      <vt:lpstr>SelfDefinedICEVMaintenance</vt:lpstr>
      <vt:lpstr>SelfDefinedICEVMakeModel</vt:lpstr>
      <vt:lpstr>SelfDefinedICEVManufacturingEmissions</vt:lpstr>
      <vt:lpstr>SelfDefinedICEVPrice</vt:lpstr>
      <vt:lpstr>SelfDefinedInterestRate</vt:lpstr>
      <vt:lpstr>SelfDefinedLengthofOwnership</vt:lpstr>
      <vt:lpstr>SelfDefinedLoanTerm</vt:lpstr>
      <vt:lpstr>SelfDefinedSalesTax</vt:lpstr>
      <vt:lpstr>SelfDefinedSpringTemp</vt:lpstr>
      <vt:lpstr>SelfDefinedSummerTemp</vt:lpstr>
      <vt:lpstr>SelfDefinedWinterTemp</vt:lpstr>
      <vt:lpstr>SpringTemp</vt:lpstr>
      <vt:lpstr>SummerTemp</vt:lpstr>
      <vt:lpstr>Temp</vt:lpstr>
      <vt:lpstr>U.S.</vt:lpstr>
      <vt:lpstr>WinterTemp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Noel</dc:creator>
  <cp:lastModifiedBy>Will Noel</cp:lastModifiedBy>
  <dcterms:created xsi:type="dcterms:W3CDTF">2022-03-16T18:38:23Z</dcterms:created>
  <dcterms:modified xsi:type="dcterms:W3CDTF">2022-05-12T20:19:18Z</dcterms:modified>
</cp:coreProperties>
</file>